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0.250.111.101\0700_税務課\４．市民税係\２．各税目\４．国民健康保険税\3．窓口業務\仮計算関係\★HP簡易試算シート\R7年度\"/>
    </mc:Choice>
  </mc:AlternateContent>
  <xr:revisionPtr revIDLastSave="0" documentId="13_ncr:1_{5AD3D0E2-8FA9-42DA-9699-8F3F4F0C8A90}" xr6:coauthVersionLast="47" xr6:coauthVersionMax="47" xr10:uidLastSave="{00000000-0000-0000-0000-000000000000}"/>
  <bookViews>
    <workbookView xWindow="-108" yWindow="-108" windowWidth="23256" windowHeight="13176" xr2:uid="{00000000-000D-0000-FFFF-FFFF00000000}"/>
  </bookViews>
  <sheets>
    <sheet name="保険税試算シート" sheetId="1" r:id="rId1"/>
    <sheet name="入力例（１）世帯主が国保に加入する場合" sheetId="6" state="hidden" r:id="rId2"/>
    <sheet name="入力例（２）世帯主は国保に加入しない場合" sheetId="7" r:id="rId3"/>
    <sheet name="給与所得の確認シート" sheetId="2" r:id="rId4"/>
    <sheet name="公的年金等所得の確認シート" sheetId="3" r:id="rId5"/>
    <sheet name="確定申告書" sheetId="4" r:id="rId6"/>
  </sheets>
  <definedNames>
    <definedName name="_xlnm._FilterDatabase" localSheetId="1" hidden="1">'入力例（１）世帯主が国保に加入する場合'!$D$9</definedName>
    <definedName name="_xlnm._FilterDatabase" localSheetId="2" hidden="1">'入力例（２）世帯主は国保に加入しない場合'!$D$9</definedName>
    <definedName name="_xlnm._FilterDatabase" localSheetId="0" hidden="1">保険税試算シート!$D$9</definedName>
    <definedName name="_xlnm.Print_Area" localSheetId="5">確定申告書!$A$2:$Q$97</definedName>
    <definedName name="_xlnm.Print_Area" localSheetId="3">給与所得の確認シート!$A$1:$M$51</definedName>
    <definedName name="_xlnm.Print_Area" localSheetId="4">公的年金等所得の確認シート!$A$1:$N$52</definedName>
    <definedName name="_xlnm.Print_Area" localSheetId="1">'入力例（１）世帯主が国保に加入する場合'!$A$1:$L$69</definedName>
    <definedName name="_xlnm.Print_Area" localSheetId="2">'入力例（２）世帯主は国保に加入しない場合'!$A$1:$L$69</definedName>
    <definedName name="_xlnm.Print_Area" localSheetId="0">保険税試算シート!$A$1:$L$69</definedName>
    <definedName name="Z_FEF7E134_FAA0_44BF_BC01_319EC6ED6317_.wvu.FilterData" localSheetId="1" hidden="1">'入力例（１）世帯主が国保に加入する場合'!$D$9</definedName>
    <definedName name="Z_FEF7E134_FAA0_44BF_BC01_319EC6ED6317_.wvu.FilterData" localSheetId="2" hidden="1">'入力例（２）世帯主は国保に加入しない場合'!$D$9</definedName>
    <definedName name="Z_FEF7E134_FAA0_44BF_BC01_319EC6ED6317_.wvu.FilterData" localSheetId="0" hidden="1">保険税試算シート!$D$9</definedName>
    <definedName name="Z_FEF7E134_FAA0_44BF_BC01_319EC6ED6317_.wvu.PrintArea" localSheetId="5" hidden="1">確定申告書!$A$2:$Q$97</definedName>
    <definedName name="Z_FEF7E134_FAA0_44BF_BC01_319EC6ED6317_.wvu.PrintArea" localSheetId="1" hidden="1">'入力例（１）世帯主が国保に加入する場合'!$A$1:$L$44</definedName>
    <definedName name="Z_FEF7E134_FAA0_44BF_BC01_319EC6ED6317_.wvu.PrintArea" localSheetId="2" hidden="1">'入力例（２）世帯主は国保に加入しない場合'!$A$1:$L$44</definedName>
    <definedName name="Z_FEF7E134_FAA0_44BF_BC01_319EC6ED6317_.wvu.PrintArea" localSheetId="0" hidden="1">保険税試算シート!$A$1:$L$44</definedName>
  </definedNames>
  <calcPr calcId="191029"/>
  <customWorkbookViews>
    <customWorkbookView name="保険年金課 - 個人用ビュー" guid="{FEF7E134-FAA0-44BF-BC01-319EC6ED6317}" mergeInterval="0" personalView="1" maximized="1" xWindow="-8" yWindow="-8" windowWidth="1616" windowHeight="88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9" i="3" l="1"/>
  <c r="Q50" i="1" l="1"/>
  <c r="X28" i="1" l="1"/>
  <c r="X29" i="1"/>
  <c r="X30" i="1"/>
  <c r="X31" i="1"/>
  <c r="X32" i="1"/>
  <c r="X27" i="1"/>
  <c r="Q50" i="7"/>
  <c r="H52" i="7" s="1"/>
  <c r="N45" i="7"/>
  <c r="E52" i="7" s="1"/>
  <c r="K35" i="7"/>
  <c r="X32" i="7"/>
  <c r="V32" i="7"/>
  <c r="S32" i="7"/>
  <c r="R32" i="7"/>
  <c r="P32" i="7"/>
  <c r="O32" i="7"/>
  <c r="X31" i="7"/>
  <c r="V31" i="7"/>
  <c r="S31" i="7"/>
  <c r="R31" i="7"/>
  <c r="Q31" i="7"/>
  <c r="P31" i="7"/>
  <c r="O31" i="7"/>
  <c r="X30" i="7"/>
  <c r="V30" i="7"/>
  <c r="S30" i="7"/>
  <c r="R30" i="7"/>
  <c r="P30" i="7"/>
  <c r="O30" i="7"/>
  <c r="X29" i="7"/>
  <c r="V29" i="7"/>
  <c r="S29" i="7"/>
  <c r="R29" i="7"/>
  <c r="P29" i="7"/>
  <c r="O29" i="7"/>
  <c r="X28" i="7"/>
  <c r="V28" i="7"/>
  <c r="S28" i="7"/>
  <c r="R28" i="7"/>
  <c r="P28" i="7"/>
  <c r="O28" i="7"/>
  <c r="X27" i="7"/>
  <c r="V27" i="7"/>
  <c r="S27" i="7"/>
  <c r="R27" i="7"/>
  <c r="P27" i="7"/>
  <c r="O27" i="7"/>
  <c r="V21" i="7"/>
  <c r="R21" i="7"/>
  <c r="P21" i="7"/>
  <c r="O21" i="7"/>
  <c r="V20" i="7"/>
  <c r="R20" i="7"/>
  <c r="P20" i="7"/>
  <c r="O20" i="7"/>
  <c r="W31" i="7" s="1"/>
  <c r="Y31" i="7" s="1"/>
  <c r="V19" i="7"/>
  <c r="R19" i="7"/>
  <c r="Q19" i="7"/>
  <c r="P19" i="7"/>
  <c r="O19" i="7"/>
  <c r="V18" i="7"/>
  <c r="R18" i="7"/>
  <c r="P18" i="7"/>
  <c r="O18" i="7"/>
  <c r="V17" i="7"/>
  <c r="R17" i="7"/>
  <c r="P17" i="7"/>
  <c r="O17" i="7"/>
  <c r="V16" i="7"/>
  <c r="R16" i="7"/>
  <c r="P16" i="7"/>
  <c r="O16" i="7"/>
  <c r="W27" i="7" s="1"/>
  <c r="I16" i="7"/>
  <c r="Q32" i="7" s="1"/>
  <c r="I15" i="7"/>
  <c r="Q20" i="7" s="1"/>
  <c r="I14" i="7"/>
  <c r="Q30" i="7" s="1"/>
  <c r="I13" i="7"/>
  <c r="Q29" i="7" s="1"/>
  <c r="I12" i="7"/>
  <c r="Q28" i="7" s="1"/>
  <c r="I11" i="7"/>
  <c r="Q16" i="7" s="1"/>
  <c r="V8" i="7"/>
  <c r="U8" i="7"/>
  <c r="AC5" i="7"/>
  <c r="AA5" i="7"/>
  <c r="V11" i="7" s="1"/>
  <c r="Z5" i="7"/>
  <c r="W5" i="7"/>
  <c r="V5" i="7"/>
  <c r="U5" i="7"/>
  <c r="Q5" i="7"/>
  <c r="AC4" i="7"/>
  <c r="AA4" i="7"/>
  <c r="V10" i="7" s="1"/>
  <c r="Z4" i="7"/>
  <c r="U10" i="7" s="1"/>
  <c r="W4" i="7"/>
  <c r="V4" i="7"/>
  <c r="U4" i="7"/>
  <c r="Q4" i="7"/>
  <c r="AC3" i="7"/>
  <c r="AA3" i="7"/>
  <c r="V9" i="7" s="1"/>
  <c r="Z3" i="7"/>
  <c r="U9" i="7" s="1"/>
  <c r="W3" i="7"/>
  <c r="V3" i="7"/>
  <c r="U3" i="7"/>
  <c r="Q3" i="7"/>
  <c r="Q50" i="6"/>
  <c r="H52" i="6" s="1"/>
  <c r="N45" i="6"/>
  <c r="E52" i="6" s="1"/>
  <c r="K35" i="6"/>
  <c r="X32" i="6"/>
  <c r="V32" i="6"/>
  <c r="S32" i="6"/>
  <c r="R32" i="6"/>
  <c r="P32" i="6"/>
  <c r="O32" i="6"/>
  <c r="X31" i="6"/>
  <c r="V31" i="6"/>
  <c r="S31" i="6"/>
  <c r="R31" i="6"/>
  <c r="P31" i="6"/>
  <c r="O31" i="6"/>
  <c r="X30" i="6"/>
  <c r="V30" i="6"/>
  <c r="S30" i="6"/>
  <c r="R30" i="6"/>
  <c r="P30" i="6"/>
  <c r="O30" i="6"/>
  <c r="X29" i="6"/>
  <c r="V29" i="6"/>
  <c r="S29" i="6"/>
  <c r="R29" i="6"/>
  <c r="Q29" i="6"/>
  <c r="P29" i="6"/>
  <c r="O29" i="6"/>
  <c r="X28" i="6"/>
  <c r="V28" i="6"/>
  <c r="S28" i="6"/>
  <c r="R28" i="6"/>
  <c r="P28" i="6"/>
  <c r="O28" i="6"/>
  <c r="X27" i="6"/>
  <c r="V27" i="6"/>
  <c r="S27" i="6"/>
  <c r="R27" i="6"/>
  <c r="P27" i="6"/>
  <c r="O27" i="6"/>
  <c r="V21" i="6"/>
  <c r="S21" i="6"/>
  <c r="R21" i="6"/>
  <c r="P21" i="6"/>
  <c r="O21" i="6"/>
  <c r="V20" i="6"/>
  <c r="R20" i="6"/>
  <c r="P20" i="6"/>
  <c r="O20" i="6"/>
  <c r="V19" i="6"/>
  <c r="S19" i="6"/>
  <c r="R19" i="6"/>
  <c r="Q19" i="6"/>
  <c r="P19" i="6"/>
  <c r="O19" i="6"/>
  <c r="V18" i="6"/>
  <c r="R18" i="6"/>
  <c r="P18" i="6"/>
  <c r="O18" i="6"/>
  <c r="V17" i="6"/>
  <c r="R17" i="6"/>
  <c r="P17" i="6"/>
  <c r="O17" i="6"/>
  <c r="V16" i="6"/>
  <c r="R16" i="6"/>
  <c r="P16" i="6"/>
  <c r="O16" i="6"/>
  <c r="I16" i="6"/>
  <c r="Q21" i="6" s="1"/>
  <c r="I15" i="6"/>
  <c r="Q31" i="6" s="1"/>
  <c r="I14" i="6"/>
  <c r="Q30" i="6" s="1"/>
  <c r="I13" i="6"/>
  <c r="S18" i="6" s="1"/>
  <c r="I12" i="6"/>
  <c r="S17" i="6" s="1"/>
  <c r="I11" i="6"/>
  <c r="Q16" i="6" s="1"/>
  <c r="V8" i="6"/>
  <c r="U8" i="6"/>
  <c r="AC5" i="6"/>
  <c r="AA5" i="6"/>
  <c r="V11" i="6" s="1"/>
  <c r="Z5" i="6"/>
  <c r="W5" i="6"/>
  <c r="V5" i="6"/>
  <c r="U5" i="6"/>
  <c r="Q5" i="6"/>
  <c r="AC4" i="6"/>
  <c r="AA4" i="6"/>
  <c r="V10" i="6" s="1"/>
  <c r="Z4" i="6"/>
  <c r="U10" i="6" s="1"/>
  <c r="W4" i="6"/>
  <c r="V4" i="6"/>
  <c r="U4" i="6"/>
  <c r="Q4" i="6"/>
  <c r="AC3" i="6"/>
  <c r="AA3" i="6"/>
  <c r="V9" i="6" s="1"/>
  <c r="Z3" i="6"/>
  <c r="AB3" i="6" s="1"/>
  <c r="W3" i="6"/>
  <c r="V3" i="6"/>
  <c r="U3" i="6"/>
  <c r="Q3" i="6"/>
  <c r="Q18" i="6" l="1"/>
  <c r="S20" i="7"/>
  <c r="W30" i="7"/>
  <c r="Y30" i="7" s="1"/>
  <c r="Z30" i="6"/>
  <c r="Q32" i="6"/>
  <c r="T32" i="6" s="1"/>
  <c r="W9" i="7"/>
  <c r="AB5" i="6"/>
  <c r="AB3" i="7"/>
  <c r="W8" i="7"/>
  <c r="U9" i="6"/>
  <c r="W9" i="6" s="1"/>
  <c r="S18" i="7"/>
  <c r="Q21" i="7"/>
  <c r="T29" i="7"/>
  <c r="T30" i="7"/>
  <c r="T18" i="6"/>
  <c r="J13" i="6" s="1"/>
  <c r="W31" i="6"/>
  <c r="Y31" i="6" s="1"/>
  <c r="S20" i="6"/>
  <c r="W20" i="6" s="1"/>
  <c r="T29" i="6"/>
  <c r="W30" i="6"/>
  <c r="Y30" i="6" s="1"/>
  <c r="X33" i="7"/>
  <c r="Z29" i="7"/>
  <c r="W8" i="6"/>
  <c r="Z29" i="6"/>
  <c r="AB5" i="7"/>
  <c r="U11" i="7"/>
  <c r="W11" i="7" s="1"/>
  <c r="Q18" i="7"/>
  <c r="Z30" i="7"/>
  <c r="S19" i="7"/>
  <c r="W19" i="7" s="1"/>
  <c r="S21" i="7"/>
  <c r="T31" i="7"/>
  <c r="U11" i="6"/>
  <c r="W11" i="6" s="1"/>
  <c r="Q20" i="6"/>
  <c r="T21" i="6"/>
  <c r="J16" i="6" s="1"/>
  <c r="W10" i="7"/>
  <c r="W10" i="6"/>
  <c r="S17" i="7"/>
  <c r="Q17" i="7"/>
  <c r="V33" i="7"/>
  <c r="O41" i="7" s="1"/>
  <c r="Z27" i="7"/>
  <c r="Q17" i="6"/>
  <c r="W17" i="6" s="1"/>
  <c r="Q28" i="6"/>
  <c r="T28" i="6" s="1"/>
  <c r="X33" i="6"/>
  <c r="Y27" i="7"/>
  <c r="T32" i="7"/>
  <c r="T28" i="7"/>
  <c r="S16" i="7"/>
  <c r="T16" i="7" s="1"/>
  <c r="W20" i="7"/>
  <c r="Z28" i="7"/>
  <c r="W29" i="7"/>
  <c r="Y29" i="7" s="1"/>
  <c r="Z32" i="7"/>
  <c r="N47" i="7"/>
  <c r="E55" i="7" s="1"/>
  <c r="Q27" i="7"/>
  <c r="T27" i="7" s="1"/>
  <c r="W28" i="7"/>
  <c r="Y28" i="7" s="1"/>
  <c r="Z31" i="7"/>
  <c r="W32" i="7"/>
  <c r="Y32" i="7" s="1"/>
  <c r="AB4" i="7"/>
  <c r="T20" i="7"/>
  <c r="J15" i="7" s="1"/>
  <c r="W27" i="6"/>
  <c r="Y27" i="6" s="1"/>
  <c r="V33" i="6"/>
  <c r="O41" i="6" s="1"/>
  <c r="T30" i="6"/>
  <c r="T31" i="6"/>
  <c r="S16" i="6"/>
  <c r="W16" i="6" s="1"/>
  <c r="W18" i="6"/>
  <c r="W19" i="6"/>
  <c r="W21" i="6"/>
  <c r="Z28" i="6"/>
  <c r="W29" i="6"/>
  <c r="Y29" i="6" s="1"/>
  <c r="Z32" i="6"/>
  <c r="N47" i="6"/>
  <c r="E55" i="6" s="1"/>
  <c r="Q27" i="6"/>
  <c r="T27" i="6" s="1"/>
  <c r="Z27" i="6"/>
  <c r="W28" i="6"/>
  <c r="Y28" i="6" s="1"/>
  <c r="Z31" i="6"/>
  <c r="W32" i="6"/>
  <c r="Y32" i="6" s="1"/>
  <c r="AB4" i="6"/>
  <c r="T19" i="6"/>
  <c r="J14" i="6" s="1"/>
  <c r="V28" i="1"/>
  <c r="V29" i="1"/>
  <c r="V30" i="1"/>
  <c r="V31" i="1"/>
  <c r="V32" i="1"/>
  <c r="V27" i="1"/>
  <c r="S28" i="1"/>
  <c r="S29" i="1"/>
  <c r="S30" i="1"/>
  <c r="S31" i="1"/>
  <c r="S32" i="1"/>
  <c r="S27" i="1"/>
  <c r="R28" i="1"/>
  <c r="R29" i="1"/>
  <c r="R30" i="1"/>
  <c r="R31" i="1"/>
  <c r="R32" i="1"/>
  <c r="R27" i="1"/>
  <c r="P28" i="1"/>
  <c r="P29" i="1"/>
  <c r="P30" i="1"/>
  <c r="P31" i="1"/>
  <c r="P32" i="1"/>
  <c r="P27" i="1"/>
  <c r="O28" i="1"/>
  <c r="O29" i="1"/>
  <c r="O30" i="1"/>
  <c r="O31" i="1"/>
  <c r="O32" i="1"/>
  <c r="O27" i="1"/>
  <c r="V17" i="1"/>
  <c r="V18" i="1"/>
  <c r="V19" i="1"/>
  <c r="V20" i="1"/>
  <c r="V21" i="1"/>
  <c r="V16" i="1"/>
  <c r="R17" i="1"/>
  <c r="R18" i="1"/>
  <c r="R19" i="1"/>
  <c r="R20" i="1"/>
  <c r="R21" i="1"/>
  <c r="R16" i="1"/>
  <c r="P17" i="1"/>
  <c r="P18" i="1"/>
  <c r="P19" i="1"/>
  <c r="P20" i="1"/>
  <c r="P21" i="1"/>
  <c r="P16" i="1"/>
  <c r="O17" i="1"/>
  <c r="O18" i="1"/>
  <c r="O19" i="1"/>
  <c r="O20" i="1"/>
  <c r="O21" i="1"/>
  <c r="O16" i="1"/>
  <c r="I12" i="1"/>
  <c r="Q17" i="1" s="1"/>
  <c r="I13" i="1"/>
  <c r="Q18" i="1" s="1"/>
  <c r="I14" i="1"/>
  <c r="Q19" i="1" s="1"/>
  <c r="I15" i="1"/>
  <c r="Q20" i="1" s="1"/>
  <c r="I16" i="1"/>
  <c r="Q21" i="1" s="1"/>
  <c r="I11" i="1"/>
  <c r="T18" i="7" l="1"/>
  <c r="J13" i="7" s="1"/>
  <c r="T21" i="7"/>
  <c r="J16" i="7" s="1"/>
  <c r="W28" i="1"/>
  <c r="Y28" i="1" s="1"/>
  <c r="T20" i="6"/>
  <c r="J15" i="6" s="1"/>
  <c r="T17" i="6"/>
  <c r="J12" i="6" s="1"/>
  <c r="Z30" i="1"/>
  <c r="W18" i="7"/>
  <c r="T19" i="7"/>
  <c r="J14" i="7" s="1"/>
  <c r="Z32" i="1"/>
  <c r="Z33" i="7"/>
  <c r="Z31" i="1"/>
  <c r="W32" i="1"/>
  <c r="W21" i="7"/>
  <c r="T17" i="7"/>
  <c r="J12" i="7" s="1"/>
  <c r="W31" i="1"/>
  <c r="W30" i="1"/>
  <c r="W17" i="7"/>
  <c r="Q29" i="1"/>
  <c r="W29" i="1"/>
  <c r="Z29" i="1"/>
  <c r="Z28" i="1"/>
  <c r="T33" i="7"/>
  <c r="S40" i="7" s="1"/>
  <c r="K36" i="7" s="1"/>
  <c r="W16" i="7"/>
  <c r="W22" i="6"/>
  <c r="I34" i="6" s="1"/>
  <c r="T33" i="6"/>
  <c r="S40" i="6" s="1"/>
  <c r="J11" i="7"/>
  <c r="W33" i="7"/>
  <c r="Y33" i="7"/>
  <c r="Z33" i="6"/>
  <c r="Y33" i="6"/>
  <c r="W33" i="6"/>
  <c r="T16" i="6"/>
  <c r="V33" i="1"/>
  <c r="O41" i="1" s="1"/>
  <c r="U8" i="1"/>
  <c r="R49" i="3"/>
  <c r="P22" i="2"/>
  <c r="Q19" i="2" s="1"/>
  <c r="X39" i="6" l="1"/>
  <c r="T22" i="7"/>
  <c r="G34" i="7" s="1"/>
  <c r="J17" i="7"/>
  <c r="K36" i="6"/>
  <c r="W22" i="7"/>
  <c r="I34" i="7" s="1"/>
  <c r="X39" i="7"/>
  <c r="V39" i="7"/>
  <c r="V39" i="6"/>
  <c r="W39" i="7"/>
  <c r="W39" i="6"/>
  <c r="J11" i="6"/>
  <c r="J17" i="6" s="1"/>
  <c r="T22" i="6"/>
  <c r="S38" i="3"/>
  <c r="S44" i="3"/>
  <c r="S47" i="3"/>
  <c r="S35" i="3"/>
  <c r="S39" i="3"/>
  <c r="S45" i="3"/>
  <c r="S36" i="3"/>
  <c r="S46" i="3"/>
  <c r="S37" i="3"/>
  <c r="S43" i="3"/>
  <c r="S40" i="3"/>
  <c r="Q9" i="2"/>
  <c r="Q13" i="2"/>
  <c r="Q17" i="2"/>
  <c r="Q12" i="2"/>
  <c r="Q16" i="2"/>
  <c r="Q10" i="2"/>
  <c r="Q14" i="2"/>
  <c r="Q18" i="2"/>
  <c r="Q11" i="2"/>
  <c r="Q15" i="2"/>
  <c r="E34" i="7" l="1"/>
  <c r="I36" i="7"/>
  <c r="I35" i="7"/>
  <c r="E35" i="7"/>
  <c r="G35" i="7"/>
  <c r="E36" i="7"/>
  <c r="G36" i="7"/>
  <c r="G36" i="6"/>
  <c r="G35" i="6"/>
  <c r="E35" i="6"/>
  <c r="I35" i="6"/>
  <c r="I37" i="6" s="1"/>
  <c r="P53" i="6" s="1"/>
  <c r="E36" i="6"/>
  <c r="E34" i="6"/>
  <c r="G34" i="6"/>
  <c r="S49" i="3"/>
  <c r="B48" i="3" s="1"/>
  <c r="Q22" i="2"/>
  <c r="J23" i="2" s="1"/>
  <c r="I37" i="7" l="1"/>
  <c r="P53" i="7" s="1"/>
  <c r="E37" i="7"/>
  <c r="N53" i="7" s="1"/>
  <c r="G37" i="7"/>
  <c r="O53" i="7" s="1"/>
  <c r="G37" i="6"/>
  <c r="O53" i="6" s="1"/>
  <c r="E37" i="6"/>
  <c r="N53" i="6" s="1"/>
  <c r="V5" i="1"/>
  <c r="W5" i="1"/>
  <c r="U5" i="1"/>
  <c r="V4" i="1"/>
  <c r="W4" i="1"/>
  <c r="U4" i="1"/>
  <c r="V3" i="1"/>
  <c r="W3" i="1"/>
  <c r="U3" i="1"/>
  <c r="N54" i="7" l="1"/>
  <c r="G55" i="7" s="1"/>
  <c r="G58" i="7" s="1"/>
  <c r="N54" i="6"/>
  <c r="G55" i="6" s="1"/>
  <c r="G58" i="6" s="1"/>
  <c r="G40" i="7"/>
  <c r="G40" i="6"/>
  <c r="S16" i="1"/>
  <c r="K35" i="1" l="1"/>
  <c r="N45" i="1" l="1"/>
  <c r="E52" i="1" s="1"/>
  <c r="H52" i="1"/>
  <c r="N47" i="1" l="1"/>
  <c r="E55" i="1" s="1"/>
  <c r="V8" i="1"/>
  <c r="Q16" i="1" l="1"/>
  <c r="T16" i="1" s="1"/>
  <c r="W8" i="1"/>
  <c r="AA3" i="1" l="1"/>
  <c r="V9" i="1" s="1"/>
  <c r="W27" i="1" l="1"/>
  <c r="Y27" i="1" s="1"/>
  <c r="X33" i="1"/>
  <c r="Q27" i="1" l="1"/>
  <c r="T27" i="1" s="1"/>
  <c r="J11" i="1"/>
  <c r="Z27" i="1"/>
  <c r="Z33" i="1" s="1"/>
  <c r="AA33" i="1" s="1"/>
  <c r="AC4" i="1"/>
  <c r="S20" i="1" l="1"/>
  <c r="S21" i="1"/>
  <c r="Q31" i="1" l="1"/>
  <c r="T31" i="1" s="1"/>
  <c r="Q32" i="1"/>
  <c r="T32" i="1" s="1"/>
  <c r="Q30" i="1"/>
  <c r="T30" i="1" s="1"/>
  <c r="S19" i="1"/>
  <c r="T29" i="1"/>
  <c r="S18" i="1"/>
  <c r="Q28" i="1"/>
  <c r="T28" i="1" s="1"/>
  <c r="S17" i="1"/>
  <c r="Y29" i="1"/>
  <c r="Y30" i="1"/>
  <c r="Y31" i="1"/>
  <c r="Q5" i="1"/>
  <c r="Q4" i="1"/>
  <c r="Q3" i="1"/>
  <c r="AC5" i="1"/>
  <c r="AC3" i="1"/>
  <c r="AA5" i="1"/>
  <c r="V11" i="1" s="1"/>
  <c r="AA4" i="1"/>
  <c r="Z5" i="1"/>
  <c r="U11" i="1" s="1"/>
  <c r="Z4" i="1"/>
  <c r="Z3" i="1"/>
  <c r="V10" i="1" l="1"/>
  <c r="U10" i="1"/>
  <c r="T33" i="1"/>
  <c r="S40" i="1" s="1"/>
  <c r="Y32" i="1"/>
  <c r="Y33" i="1" s="1"/>
  <c r="U9" i="1"/>
  <c r="W9" i="1" s="1"/>
  <c r="W11" i="1"/>
  <c r="AB5" i="1"/>
  <c r="AB3" i="1"/>
  <c r="AB4" i="1"/>
  <c r="W19" i="1"/>
  <c r="T19" i="1"/>
  <c r="J14" i="1" s="1"/>
  <c r="W20" i="1"/>
  <c r="T20" i="1"/>
  <c r="J15" i="1" s="1"/>
  <c r="T17" i="1"/>
  <c r="J12" i="1" s="1"/>
  <c r="W17" i="1"/>
  <c r="T21" i="1"/>
  <c r="J16" i="1" s="1"/>
  <c r="W21" i="1"/>
  <c r="V39" i="1" l="1"/>
  <c r="W39" i="1"/>
  <c r="W10" i="1"/>
  <c r="W33" i="1"/>
  <c r="X39" i="1"/>
  <c r="I36" i="1" l="1"/>
  <c r="E35" i="1"/>
  <c r="I35" i="1"/>
  <c r="G35" i="1"/>
  <c r="E36" i="1"/>
  <c r="G36" i="1"/>
  <c r="W16" i="1"/>
  <c r="T18" i="1" l="1"/>
  <c r="W18" i="1"/>
  <c r="W22" i="1" s="1"/>
  <c r="I34" i="1" s="1"/>
  <c r="J13" i="1" l="1"/>
  <c r="J17" i="1" s="1"/>
  <c r="I37" i="1"/>
  <c r="P53" i="1" s="1"/>
  <c r="T22" i="1"/>
  <c r="E34" i="1" l="1"/>
  <c r="G34" i="1"/>
  <c r="G37" i="1" s="1"/>
  <c r="O53" i="1" s="1"/>
  <c r="E37" i="1" l="1"/>
  <c r="N53" i="1" s="1"/>
  <c r="N54" i="1" s="1"/>
  <c r="G55" i="1" s="1"/>
  <c r="G40" i="1" l="1"/>
  <c r="G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000-000001000000}">
      <text>
        <r>
          <rPr>
            <b/>
            <sz val="12"/>
            <color indexed="81"/>
            <rFont val="MS P ゴシック"/>
            <family val="3"/>
            <charset val="128"/>
          </rPr>
          <t>年齢が65才以上は数値が0になります。</t>
        </r>
      </text>
    </comment>
    <comment ref="S26" authorId="0" shapeId="0" xr:uid="{00000000-0006-0000-0000-000002000000}">
      <text>
        <r>
          <rPr>
            <b/>
            <sz val="11"/>
            <color indexed="81"/>
            <rFont val="MS P ゴシック"/>
            <family val="3"/>
            <charset val="128"/>
          </rPr>
          <t>65才未満は数値が0になります。</t>
        </r>
      </text>
    </comment>
    <comment ref="V26" authorId="0" shapeId="0" xr:uid="{00000000-0006-0000-00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000-000004000000}">
      <text>
        <r>
          <rPr>
            <b/>
            <sz val="11"/>
            <color indexed="81"/>
            <rFont val="MS P ゴシック"/>
            <family val="3"/>
            <charset val="128"/>
          </rPr>
          <t>擬主は数値が0になります。その他は(d)に同じです。</t>
        </r>
      </text>
    </comment>
    <comment ref="G49" authorId="1" shapeId="0" xr:uid="{00000000-0006-0000-0000-000005000000}">
      <text>
        <r>
          <rPr>
            <b/>
            <sz val="14"/>
            <color indexed="81"/>
            <rFont val="ＭＳ Ｐゴシック"/>
            <family val="3"/>
            <charset val="128"/>
          </rPr>
          <t>日付は7/1のように「/」を用いて入力してください。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100-000001000000}">
      <text>
        <r>
          <rPr>
            <b/>
            <sz val="12"/>
            <color indexed="81"/>
            <rFont val="MS P ゴシック"/>
            <family val="3"/>
            <charset val="128"/>
          </rPr>
          <t>年齢が65才以上は数値が0になります。</t>
        </r>
      </text>
    </comment>
    <comment ref="S26" authorId="0" shapeId="0" xr:uid="{00000000-0006-0000-0100-000002000000}">
      <text>
        <r>
          <rPr>
            <b/>
            <sz val="11"/>
            <color indexed="81"/>
            <rFont val="MS P ゴシック"/>
            <family val="3"/>
            <charset val="128"/>
          </rPr>
          <t>65才未満は数値が0になります。</t>
        </r>
      </text>
    </comment>
    <comment ref="V26" authorId="0" shapeId="0" xr:uid="{00000000-0006-0000-01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100-000004000000}">
      <text>
        <r>
          <rPr>
            <b/>
            <sz val="11"/>
            <color indexed="81"/>
            <rFont val="MS P ゴシック"/>
            <family val="3"/>
            <charset val="128"/>
          </rPr>
          <t>擬主は数値が0になります。その他は(d)に同じです。</t>
        </r>
      </text>
    </comment>
    <comment ref="G49" authorId="1" shapeId="0" xr:uid="{00000000-0006-0000-0100-000005000000}">
      <text>
        <r>
          <rPr>
            <b/>
            <sz val="14"/>
            <color indexed="81"/>
            <rFont val="ＭＳ Ｐゴシック"/>
            <family val="3"/>
            <charset val="128"/>
          </rPr>
          <t>日付は7/1のように「/」を用いて入力してください。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akihide</author>
    <author>保険年金課</author>
  </authors>
  <commentList>
    <comment ref="R15" authorId="0" shapeId="0" xr:uid="{00000000-0006-0000-0200-000001000000}">
      <text>
        <r>
          <rPr>
            <b/>
            <sz val="12"/>
            <color indexed="81"/>
            <rFont val="MS P ゴシック"/>
            <family val="3"/>
            <charset val="128"/>
          </rPr>
          <t>年齢が65才以上は数値が0になります。</t>
        </r>
      </text>
    </comment>
    <comment ref="S26" authorId="0" shapeId="0" xr:uid="{00000000-0006-0000-0200-000002000000}">
      <text>
        <r>
          <rPr>
            <b/>
            <sz val="11"/>
            <color indexed="81"/>
            <rFont val="MS P ゴシック"/>
            <family val="3"/>
            <charset val="128"/>
          </rPr>
          <t>65才未満は数値が0になります。</t>
        </r>
      </text>
    </comment>
    <comment ref="V26" authorId="0" shapeId="0" xr:uid="{00000000-0006-0000-0200-000003000000}">
      <text>
        <r>
          <rPr>
            <b/>
            <sz val="11"/>
            <color indexed="81"/>
            <rFont val="MS P ゴシック"/>
            <family val="3"/>
            <charset val="128"/>
          </rPr>
          <t>65才以上は年金収入が125万円超が対象なので、年金所得&gt;15万で代用しています。</t>
        </r>
      </text>
    </comment>
    <comment ref="R27" authorId="0" shapeId="0" xr:uid="{00000000-0006-0000-0200-000004000000}">
      <text>
        <r>
          <rPr>
            <b/>
            <sz val="11"/>
            <color indexed="81"/>
            <rFont val="MS P ゴシック"/>
            <family val="3"/>
            <charset val="128"/>
          </rPr>
          <t>擬主は数値が0になります。その他は(d)に同じです。</t>
        </r>
      </text>
    </comment>
    <comment ref="G49" authorId="1" shapeId="0" xr:uid="{00000000-0006-0000-0200-000005000000}">
      <text>
        <r>
          <rPr>
            <b/>
            <sz val="14"/>
            <color indexed="81"/>
            <rFont val="ＭＳ Ｐゴシック"/>
            <family val="3"/>
            <charset val="128"/>
          </rPr>
          <t>日付は7/1のように「/」を用いて入力してください。</t>
        </r>
      </text>
    </comment>
  </commentList>
</comments>
</file>

<file path=xl/sharedStrings.xml><?xml version="1.0" encoding="utf-8"?>
<sst xmlns="http://schemas.openxmlformats.org/spreadsheetml/2006/main" count="607" uniqueCount="203">
  <si>
    <t>7割減額</t>
    <rPh sb="1" eb="2">
      <t>ワリ</t>
    </rPh>
    <rPh sb="2" eb="4">
      <t>ゲンガク</t>
    </rPh>
    <phoneticPr fontId="1"/>
  </si>
  <si>
    <t>5割減額</t>
    <rPh sb="1" eb="2">
      <t>ワリ</t>
    </rPh>
    <rPh sb="2" eb="4">
      <t>ゲンガク</t>
    </rPh>
    <phoneticPr fontId="1"/>
  </si>
  <si>
    <t>２割減額</t>
    <rPh sb="1" eb="2">
      <t>ワリ</t>
    </rPh>
    <rPh sb="2" eb="4">
      <t>ゲンガク</t>
    </rPh>
    <phoneticPr fontId="1"/>
  </si>
  <si>
    <t>医療分</t>
    <rPh sb="0" eb="2">
      <t>イリョウ</t>
    </rPh>
    <rPh sb="2" eb="3">
      <t>ブン</t>
    </rPh>
    <phoneticPr fontId="1"/>
  </si>
  <si>
    <t>支援金分</t>
    <rPh sb="0" eb="3">
      <t>シエンキン</t>
    </rPh>
    <rPh sb="3" eb="4">
      <t>ブン</t>
    </rPh>
    <phoneticPr fontId="1"/>
  </si>
  <si>
    <t>介護分</t>
    <rPh sb="0" eb="2">
      <t>カイゴ</t>
    </rPh>
    <rPh sb="2" eb="3">
      <t>ブン</t>
    </rPh>
    <phoneticPr fontId="1"/>
  </si>
  <si>
    <t>均等割</t>
    <rPh sb="0" eb="2">
      <t>キントウ</t>
    </rPh>
    <rPh sb="2" eb="3">
      <t>ワリ</t>
    </rPh>
    <phoneticPr fontId="1"/>
  </si>
  <si>
    <t>基礎控除分</t>
    <rPh sb="0" eb="2">
      <t>キソ</t>
    </rPh>
    <rPh sb="2" eb="4">
      <t>コウジョ</t>
    </rPh>
    <rPh sb="4" eb="5">
      <t>ブン</t>
    </rPh>
    <phoneticPr fontId="1"/>
  </si>
  <si>
    <t>●万円×被保険者数</t>
    <rPh sb="1" eb="3">
      <t>マンエン</t>
    </rPh>
    <rPh sb="4" eb="8">
      <t>ヒホケンシャ</t>
    </rPh>
    <rPh sb="8" eb="9">
      <t>スウ</t>
    </rPh>
    <phoneticPr fontId="1"/>
  </si>
  <si>
    <t>－</t>
    <phoneticPr fontId="1"/>
  </si>
  <si>
    <t>最高限度額</t>
    <rPh sb="0" eb="2">
      <t>サイコウ</t>
    </rPh>
    <rPh sb="2" eb="4">
      <t>ゲンド</t>
    </rPh>
    <rPh sb="4" eb="5">
      <t>ガク</t>
    </rPh>
    <phoneticPr fontId="1"/>
  </si>
  <si>
    <t>小計</t>
    <rPh sb="0" eb="2">
      <t>ショウケイ</t>
    </rPh>
    <phoneticPr fontId="1"/>
  </si>
  <si>
    <t>Ａ</t>
    <phoneticPr fontId="1"/>
  </si>
  <si>
    <t>Ｂ</t>
    <phoneticPr fontId="1"/>
  </si>
  <si>
    <t>Ｄ</t>
    <phoneticPr fontId="1"/>
  </si>
  <si>
    <t>Ｃ</t>
    <phoneticPr fontId="1"/>
  </si>
  <si>
    <t>Ｆ</t>
    <phoneticPr fontId="1"/>
  </si>
  <si>
    <t>Ｅ</t>
    <phoneticPr fontId="1"/>
  </si>
  <si>
    <t>合計</t>
    <rPh sb="0" eb="2">
      <t>ゴウケイ</t>
    </rPh>
    <phoneticPr fontId="1"/>
  </si>
  <si>
    <t>B</t>
    <phoneticPr fontId="1"/>
  </si>
  <si>
    <t>C</t>
    <phoneticPr fontId="1"/>
  </si>
  <si>
    <t>D</t>
    <phoneticPr fontId="1"/>
  </si>
  <si>
    <t>E</t>
    <phoneticPr fontId="1"/>
  </si>
  <si>
    <t>F</t>
    <phoneticPr fontId="1"/>
  </si>
  <si>
    <t>総所得金額等</t>
    <rPh sb="0" eb="1">
      <t>ソウ</t>
    </rPh>
    <rPh sb="1" eb="3">
      <t>ショトク</t>
    </rPh>
    <rPh sb="3" eb="5">
      <t>キンガク</t>
    </rPh>
    <rPh sb="5" eb="6">
      <t>トウ</t>
    </rPh>
    <phoneticPr fontId="1"/>
  </si>
  <si>
    <t>加入者</t>
    <rPh sb="0" eb="3">
      <t>カニュウシャ</t>
    </rPh>
    <phoneticPr fontId="1"/>
  </si>
  <si>
    <r>
      <t>国保加入
・
擬主</t>
    </r>
    <r>
      <rPr>
        <vertAlign val="superscript"/>
        <sz val="12"/>
        <color theme="1"/>
        <rFont val="HG丸ｺﾞｼｯｸM-PRO"/>
        <family val="3"/>
        <charset val="128"/>
      </rPr>
      <t>*1</t>
    </r>
    <rPh sb="0" eb="2">
      <t>コクホ</t>
    </rPh>
    <rPh sb="2" eb="4">
      <t>カニュウ</t>
    </rPh>
    <rPh sb="7" eb="9">
      <t>ギヌシ</t>
    </rPh>
    <phoneticPr fontId="1"/>
  </si>
  <si>
    <r>
      <t>給与所得</t>
    </r>
    <r>
      <rPr>
        <vertAlign val="superscript"/>
        <sz val="12"/>
        <color theme="1"/>
        <rFont val="HG丸ｺﾞｼｯｸM-PRO"/>
        <family val="3"/>
        <charset val="128"/>
      </rPr>
      <t>*2</t>
    </r>
    <rPh sb="0" eb="2">
      <t>キュウヨ</t>
    </rPh>
    <rPh sb="2" eb="4">
      <t>ショトク</t>
    </rPh>
    <phoneticPr fontId="1"/>
  </si>
  <si>
    <t>A
（世帯主）</t>
    <rPh sb="3" eb="6">
      <t>セタイヌシ</t>
    </rPh>
    <phoneticPr fontId="1"/>
  </si>
  <si>
    <t>合計　</t>
    <rPh sb="0" eb="2">
      <t>ゴウケイ</t>
    </rPh>
    <phoneticPr fontId="1"/>
  </si>
  <si>
    <r>
      <rPr>
        <sz val="14"/>
        <color theme="1"/>
        <rFont val="HG丸ｺﾞｼｯｸM-PRO"/>
        <family val="3"/>
        <charset val="128"/>
      </rPr>
      <t>所得割</t>
    </r>
    <r>
      <rPr>
        <sz val="12"/>
        <color theme="1"/>
        <rFont val="HG丸ｺﾞｼｯｸM-PRO"/>
        <family val="3"/>
        <charset val="128"/>
      </rPr>
      <t xml:space="preserve">
（算定基礎額×料率）</t>
    </r>
    <rPh sb="0" eb="2">
      <t>ショトク</t>
    </rPh>
    <rPh sb="2" eb="3">
      <t>ワリ</t>
    </rPh>
    <rPh sb="5" eb="7">
      <t>サンテイ</t>
    </rPh>
    <rPh sb="7" eb="9">
      <t>キソ</t>
    </rPh>
    <rPh sb="9" eb="10">
      <t>ガク</t>
    </rPh>
    <rPh sb="11" eb="13">
      <t>リョウリツ</t>
    </rPh>
    <phoneticPr fontId="1"/>
  </si>
  <si>
    <t>STEP　１　　世帯主と国保加入者の年齢区分・所得等の情報を入力してください</t>
    <rPh sb="18" eb="20">
      <t>ネンレイ</t>
    </rPh>
    <rPh sb="20" eb="22">
      <t>クブン</t>
    </rPh>
    <rPh sb="23" eb="25">
      <t>ショトク</t>
    </rPh>
    <rPh sb="25" eb="26">
      <t>トウ</t>
    </rPh>
    <rPh sb="27" eb="29">
      <t>ジョウホウ</t>
    </rPh>
    <rPh sb="30" eb="32">
      <t>ニュウリョク</t>
    </rPh>
    <phoneticPr fontId="1"/>
  </si>
  <si>
    <t>　※雇用保険受給資格者証、離職理由等については発行元のハローワークへお尋ねください。</t>
    <rPh sb="2" eb="4">
      <t>コヨウ</t>
    </rPh>
    <rPh sb="4" eb="6">
      <t>ホケン</t>
    </rPh>
    <rPh sb="6" eb="8">
      <t>ジュキュウ</t>
    </rPh>
    <rPh sb="8" eb="11">
      <t>シカクシャ</t>
    </rPh>
    <rPh sb="11" eb="12">
      <t>ショウ</t>
    </rPh>
    <rPh sb="13" eb="15">
      <t>リショク</t>
    </rPh>
    <rPh sb="15" eb="17">
      <t>リユウ</t>
    </rPh>
    <rPh sb="17" eb="18">
      <t>トウ</t>
    </rPh>
    <rPh sb="23" eb="25">
      <t>ハッコウ</t>
    </rPh>
    <rPh sb="25" eb="26">
      <t>モト</t>
    </rPh>
    <rPh sb="35" eb="36">
      <t>タズ</t>
    </rPh>
    <phoneticPr fontId="1"/>
  </si>
  <si>
    <t>　※株式等の取引の際、源泉徴収ありの特定口座を選択し、確定申告をしなかった場合の株式等の所得は算定対象に含みません。</t>
    <rPh sb="2" eb="4">
      <t>カブシキ</t>
    </rPh>
    <rPh sb="4" eb="5">
      <t>トウ</t>
    </rPh>
    <rPh sb="6" eb="8">
      <t>トリヒキ</t>
    </rPh>
    <rPh sb="9" eb="10">
      <t>サイ</t>
    </rPh>
    <rPh sb="11" eb="13">
      <t>ゲンセン</t>
    </rPh>
    <rPh sb="13" eb="15">
      <t>チョウシュウ</t>
    </rPh>
    <rPh sb="18" eb="20">
      <t>トクテイ</t>
    </rPh>
    <rPh sb="20" eb="22">
      <t>コウザ</t>
    </rPh>
    <rPh sb="23" eb="25">
      <t>センタク</t>
    </rPh>
    <rPh sb="27" eb="29">
      <t>カクテイ</t>
    </rPh>
    <rPh sb="29" eb="31">
      <t>シンコク</t>
    </rPh>
    <rPh sb="37" eb="39">
      <t>バアイ</t>
    </rPh>
    <rPh sb="40" eb="42">
      <t>カブシキ</t>
    </rPh>
    <rPh sb="42" eb="43">
      <t>トウ</t>
    </rPh>
    <rPh sb="44" eb="46">
      <t>ショトク</t>
    </rPh>
    <rPh sb="47" eb="49">
      <t>サンテイ</t>
    </rPh>
    <rPh sb="49" eb="51">
      <t>タイショウ</t>
    </rPh>
    <rPh sb="52" eb="53">
      <t>フク</t>
    </rPh>
    <phoneticPr fontId="1"/>
  </si>
  <si>
    <t>　（例：事業所得、不動産所得、雑所得（年金除く）、土地建物の長・短期譲渡所得、株式配当所得、株式譲渡所得など）</t>
    <rPh sb="9" eb="12">
      <t>フドウサン</t>
    </rPh>
    <rPh sb="12" eb="14">
      <t>ショトク</t>
    </rPh>
    <rPh sb="19" eb="21">
      <t>ネンキン</t>
    </rPh>
    <rPh sb="21" eb="22">
      <t>ノゾ</t>
    </rPh>
    <rPh sb="25" eb="27">
      <t>トチ</t>
    </rPh>
    <phoneticPr fontId="1"/>
  </si>
  <si>
    <t>均等割額減額判定用所得</t>
    <rPh sb="0" eb="3">
      <t>キントウワリ</t>
    </rPh>
    <rPh sb="3" eb="4">
      <t>ガク</t>
    </rPh>
    <rPh sb="6" eb="8">
      <t>ハンテイ</t>
    </rPh>
    <rPh sb="8" eb="9">
      <t>ヨウ</t>
    </rPh>
    <rPh sb="9" eb="11">
      <t>ショトク</t>
    </rPh>
    <phoneticPr fontId="1"/>
  </si>
  <si>
    <t>算定基礎額</t>
    <rPh sb="0" eb="2">
      <t>サンテイ</t>
    </rPh>
    <rPh sb="2" eb="4">
      <t>キソ</t>
    </rPh>
    <rPh sb="4" eb="5">
      <t>ガク</t>
    </rPh>
    <phoneticPr fontId="1"/>
  </si>
  <si>
    <t>年齢区分</t>
    <rPh sb="0" eb="2">
      <t>ネンレイ</t>
    </rPh>
    <rPh sb="2" eb="4">
      <t>クブン</t>
    </rPh>
    <phoneticPr fontId="1"/>
  </si>
  <si>
    <t>医療分</t>
    <rPh sb="0" eb="2">
      <t>イリョウ</t>
    </rPh>
    <rPh sb="2" eb="3">
      <t>ブン</t>
    </rPh>
    <phoneticPr fontId="1"/>
  </si>
  <si>
    <t>支援金分</t>
    <rPh sb="0" eb="2">
      <t>シエン</t>
    </rPh>
    <rPh sb="2" eb="3">
      <t>キン</t>
    </rPh>
    <rPh sb="3" eb="4">
      <t>ブン</t>
    </rPh>
    <phoneticPr fontId="1"/>
  </si>
  <si>
    <t>介護分</t>
    <rPh sb="0" eb="2">
      <t>カイゴ</t>
    </rPh>
    <rPh sb="2" eb="3">
      <t>ブン</t>
    </rPh>
    <phoneticPr fontId="1"/>
  </si>
  <si>
    <t>均等割額</t>
    <rPh sb="0" eb="3">
      <t>キントウワリ</t>
    </rPh>
    <rPh sb="3" eb="4">
      <t>ガク</t>
    </rPh>
    <phoneticPr fontId="1"/>
  </si>
  <si>
    <t>A</t>
    <phoneticPr fontId="1"/>
  </si>
  <si>
    <t>(a)</t>
    <phoneticPr fontId="1"/>
  </si>
  <si>
    <t>(b)</t>
    <phoneticPr fontId="1"/>
  </si>
  <si>
    <t>医・支合計</t>
    <rPh sb="0" eb="1">
      <t>イ</t>
    </rPh>
    <rPh sb="2" eb="3">
      <t>シ</t>
    </rPh>
    <rPh sb="3" eb="5">
      <t>ゴウケイ</t>
    </rPh>
    <phoneticPr fontId="1"/>
  </si>
  <si>
    <t>医・支合計</t>
    <phoneticPr fontId="1"/>
  </si>
  <si>
    <t>（給与所得者等の数－１）×10万円</t>
    <phoneticPr fontId="1"/>
  </si>
  <si>
    <t>加入入力確認</t>
    <rPh sb="0" eb="2">
      <t>カニュウ</t>
    </rPh>
    <rPh sb="2" eb="4">
      <t>ニュウリョク</t>
    </rPh>
    <rPh sb="4" eb="6">
      <t>カクニン</t>
    </rPh>
    <phoneticPr fontId="1"/>
  </si>
  <si>
    <t>年齢入力確認</t>
    <rPh sb="0" eb="2">
      <t>ネンレイ</t>
    </rPh>
    <rPh sb="2" eb="4">
      <t>ニュウリョク</t>
    </rPh>
    <rPh sb="4" eb="6">
      <t>カクニン</t>
    </rPh>
    <phoneticPr fontId="1"/>
  </si>
  <si>
    <t>所得割額算定基礎額計算</t>
    <rPh sb="0" eb="2">
      <t>ショトク</t>
    </rPh>
    <rPh sb="2" eb="3">
      <t>ワリ</t>
    </rPh>
    <rPh sb="3" eb="4">
      <t>ガク</t>
    </rPh>
    <rPh sb="4" eb="6">
      <t>サンテイ</t>
    </rPh>
    <rPh sb="6" eb="8">
      <t>キソ</t>
    </rPh>
    <rPh sb="8" eb="9">
      <t>ガク</t>
    </rPh>
    <rPh sb="9" eb="11">
      <t>ケイサン</t>
    </rPh>
    <phoneticPr fontId="1"/>
  </si>
  <si>
    <t>基礎控除</t>
    <rPh sb="0" eb="2">
      <t>キソ</t>
    </rPh>
    <rPh sb="2" eb="4">
      <t>コウジョ</t>
    </rPh>
    <phoneticPr fontId="1"/>
  </si>
  <si>
    <t>基礎控除</t>
    <rPh sb="0" eb="2">
      <t>キソ</t>
    </rPh>
    <rPh sb="2" eb="4">
      <t>コウジョ</t>
    </rPh>
    <phoneticPr fontId="1"/>
  </si>
  <si>
    <t>介護年齢確認</t>
    <rPh sb="0" eb="2">
      <t>カイゴ</t>
    </rPh>
    <rPh sb="2" eb="4">
      <t>ネンレイ</t>
    </rPh>
    <rPh sb="4" eb="6">
      <t>カクニン</t>
    </rPh>
    <phoneticPr fontId="1"/>
  </si>
  <si>
    <t>介護算定基礎額</t>
    <rPh sb="0" eb="2">
      <t>カイゴ</t>
    </rPh>
    <rPh sb="2" eb="4">
      <t>サンテイ</t>
    </rPh>
    <rPh sb="4" eb="6">
      <t>キソ</t>
    </rPh>
    <rPh sb="6" eb="7">
      <t>ガク</t>
    </rPh>
    <phoneticPr fontId="1"/>
  </si>
  <si>
    <t>(c)</t>
    <phoneticPr fontId="1"/>
  </si>
  <si>
    <t>(d)</t>
    <phoneticPr fontId="1"/>
  </si>
  <si>
    <t>(e)</t>
    <phoneticPr fontId="1"/>
  </si>
  <si>
    <t>会社都合の失業控除</t>
  </si>
  <si>
    <t>会社都合の失業控除</t>
    <rPh sb="0" eb="2">
      <t>カイシャ</t>
    </rPh>
    <rPh sb="2" eb="4">
      <t>ツゴウ</t>
    </rPh>
    <rPh sb="5" eb="7">
      <t>シツギョウ</t>
    </rPh>
    <rPh sb="7" eb="9">
      <t>コウジョ</t>
    </rPh>
    <phoneticPr fontId="1"/>
  </si>
  <si>
    <t>均等割額減額判定用所得計算</t>
    <rPh sb="0" eb="3">
      <t>キントウワリ</t>
    </rPh>
    <rPh sb="3" eb="4">
      <t>ガク</t>
    </rPh>
    <rPh sb="4" eb="6">
      <t>ゲンガク</t>
    </rPh>
    <rPh sb="6" eb="8">
      <t>ハンテイ</t>
    </rPh>
    <rPh sb="8" eb="9">
      <t>ヨウ</t>
    </rPh>
    <rPh sb="9" eb="11">
      <t>ショトク</t>
    </rPh>
    <rPh sb="11" eb="13">
      <t>ケイサン</t>
    </rPh>
    <phoneticPr fontId="1"/>
  </si>
  <si>
    <t>B</t>
    <phoneticPr fontId="1"/>
  </si>
  <si>
    <t>C</t>
    <phoneticPr fontId="1"/>
  </si>
  <si>
    <t>D</t>
    <phoneticPr fontId="1"/>
  </si>
  <si>
    <t>E</t>
    <phoneticPr fontId="1"/>
  </si>
  <si>
    <t>F</t>
    <phoneticPr fontId="1"/>
  </si>
  <si>
    <t>合計</t>
    <rPh sb="0" eb="2">
      <t>ゴウケイ</t>
    </rPh>
    <phoneticPr fontId="1"/>
  </si>
  <si>
    <t>総所得金額等</t>
    <rPh sb="0" eb="3">
      <t>ソウショトク</t>
    </rPh>
    <rPh sb="3" eb="5">
      <t>キンガク</t>
    </rPh>
    <rPh sb="5" eb="6">
      <t>トウ</t>
    </rPh>
    <phoneticPr fontId="1"/>
  </si>
  <si>
    <t>(g)</t>
    <phoneticPr fontId="1"/>
  </si>
  <si>
    <t>(i)</t>
    <phoneticPr fontId="1"/>
  </si>
  <si>
    <t>(j)</t>
    <phoneticPr fontId="1"/>
  </si>
  <si>
    <t>65才以上公的年金等控除</t>
    <rPh sb="2" eb="3">
      <t>サイ</t>
    </rPh>
    <rPh sb="3" eb="5">
      <t>イジョウ</t>
    </rPh>
    <rPh sb="5" eb="7">
      <t>コウテキ</t>
    </rPh>
    <rPh sb="7" eb="9">
      <t>ネンキン</t>
    </rPh>
    <rPh sb="9" eb="10">
      <t>トウ</t>
    </rPh>
    <rPh sb="10" eb="12">
      <t>コウジョ</t>
    </rPh>
    <phoneticPr fontId="1"/>
  </si>
  <si>
    <t>(k)</t>
    <phoneticPr fontId="1"/>
  </si>
  <si>
    <t>給与所得者等の数</t>
    <rPh sb="0" eb="6">
      <t>キュウヨショトクシャトウ</t>
    </rPh>
    <rPh sb="7" eb="8">
      <t>カズ</t>
    </rPh>
    <phoneticPr fontId="1"/>
  </si>
  <si>
    <t>(l)</t>
    <phoneticPr fontId="1"/>
  </si>
  <si>
    <t>介護対象者数</t>
    <rPh sb="0" eb="2">
      <t>カイゴ</t>
    </rPh>
    <rPh sb="2" eb="5">
      <t>タイショウシャ</t>
    </rPh>
    <rPh sb="5" eb="6">
      <t>スウ</t>
    </rPh>
    <phoneticPr fontId="1"/>
  </si>
  <si>
    <t>加入等入力確認</t>
    <rPh sb="0" eb="2">
      <t>カニュウ</t>
    </rPh>
    <rPh sb="2" eb="3">
      <t>トウ</t>
    </rPh>
    <rPh sb="3" eb="5">
      <t>ニュウリョク</t>
    </rPh>
    <rPh sb="5" eb="7">
      <t>カクニン</t>
    </rPh>
    <phoneticPr fontId="1"/>
  </si>
  <si>
    <t>(f)=(a)*(b)*{(c)+(d)+(e)}</t>
    <phoneticPr fontId="1"/>
  </si>
  <si>
    <t>(n)</t>
    <phoneticPr fontId="1"/>
  </si>
  <si>
    <t>(h)=(a)*(g)*{(c)+(d)+(e)}</t>
    <phoneticPr fontId="1"/>
  </si>
  <si>
    <t>(m)=(i)*(j)*{(c)+(k)+(l)}</t>
    <phoneticPr fontId="1"/>
  </si>
  <si>
    <t>※黄色の塗りつぶしセルのみ数式が他と異なる</t>
    <phoneticPr fontId="1"/>
  </si>
  <si>
    <t>調整後減額判定所得</t>
    <rPh sb="0" eb="3">
      <t>チョウセイゴ</t>
    </rPh>
    <rPh sb="3" eb="5">
      <t>ゲンガク</t>
    </rPh>
    <rPh sb="5" eb="7">
      <t>ハンテイ</t>
    </rPh>
    <rPh sb="7" eb="9">
      <t>ショトク</t>
    </rPh>
    <phoneticPr fontId="1"/>
  </si>
  <si>
    <t>その他(q)</t>
    <rPh sb="2" eb="3">
      <t>タ</t>
    </rPh>
    <phoneticPr fontId="1"/>
  </si>
  <si>
    <t>⇒</t>
    <phoneticPr fontId="1"/>
  </si>
  <si>
    <r>
      <t>会社都合の失業</t>
    </r>
    <r>
      <rPr>
        <vertAlign val="superscript"/>
        <sz val="12"/>
        <color theme="1"/>
        <rFont val="HG丸ｺﾞｼｯｸM-PRO"/>
        <family val="3"/>
        <charset val="128"/>
      </rPr>
      <t>*5</t>
    </r>
    <rPh sb="0" eb="2">
      <t>カイシャ</t>
    </rPh>
    <rPh sb="2" eb="4">
      <t>ツゴウ</t>
    </rPh>
    <rPh sb="5" eb="7">
      <t>シツギョウ</t>
    </rPh>
    <phoneticPr fontId="1"/>
  </si>
  <si>
    <r>
      <t>営業・その他所得</t>
    </r>
    <r>
      <rPr>
        <vertAlign val="superscript"/>
        <sz val="12"/>
        <color theme="1"/>
        <rFont val="HG丸ｺﾞｼｯｸM-PRO"/>
        <family val="3"/>
        <charset val="128"/>
      </rPr>
      <t>*4</t>
    </r>
    <rPh sb="0" eb="2">
      <t>エイギョウ</t>
    </rPh>
    <phoneticPr fontId="1"/>
  </si>
  <si>
    <r>
      <t>公的年金等所得</t>
    </r>
    <r>
      <rPr>
        <vertAlign val="superscript"/>
        <sz val="12"/>
        <color theme="1"/>
        <rFont val="HG丸ｺﾞｼｯｸM-PRO"/>
        <family val="3"/>
        <charset val="128"/>
      </rPr>
      <t>*3</t>
    </r>
    <rPh sb="0" eb="2">
      <t>コウテキ</t>
    </rPh>
    <rPh sb="2" eb="4">
      <t>ネンキン</t>
    </rPh>
    <rPh sb="4" eb="5">
      <t>トウ</t>
    </rPh>
    <rPh sb="5" eb="7">
      <t>ショトク</t>
    </rPh>
    <phoneticPr fontId="1"/>
  </si>
  <si>
    <r>
      <rPr>
        <vertAlign val="superscript"/>
        <sz val="12"/>
        <color theme="1"/>
        <rFont val="HG丸ｺﾞｼｯｸM-PRO"/>
        <family val="3"/>
        <charset val="128"/>
      </rPr>
      <t>*4</t>
    </r>
    <r>
      <rPr>
        <sz val="12"/>
        <color theme="1"/>
        <rFont val="HG丸ｺﾞｼｯｸM-PRO"/>
        <family val="3"/>
        <charset val="128"/>
      </rPr>
      <t xml:space="preserve"> 確定申告書の給与所得及び年金等所得以外の所得の合計金額を入力してください。</t>
    </r>
    <rPh sb="3" eb="5">
      <t>カクテイ</t>
    </rPh>
    <rPh sb="5" eb="7">
      <t>シンコク</t>
    </rPh>
    <rPh sb="7" eb="8">
      <t>ショ</t>
    </rPh>
    <rPh sb="13" eb="14">
      <t>オヨ</t>
    </rPh>
    <rPh sb="15" eb="17">
      <t>ネンキン</t>
    </rPh>
    <rPh sb="17" eb="18">
      <t>トウ</t>
    </rPh>
    <rPh sb="18" eb="20">
      <t>ショトク</t>
    </rPh>
    <rPh sb="20" eb="22">
      <t>イガイ</t>
    </rPh>
    <rPh sb="23" eb="25">
      <t>ショトク</t>
    </rPh>
    <rPh sb="26" eb="28">
      <t>ゴウケイ</t>
    </rPh>
    <rPh sb="28" eb="30">
      <t>キンガク</t>
    </rPh>
    <rPh sb="31" eb="33">
      <t>ニュウリョク</t>
    </rPh>
    <phoneticPr fontId="1"/>
  </si>
  <si>
    <t>合計所得金額2400万円以下</t>
    <rPh sb="0" eb="4">
      <t>ゴウケイショトク</t>
    </rPh>
    <rPh sb="4" eb="6">
      <t>キンガク</t>
    </rPh>
    <rPh sb="10" eb="14">
      <t>マンエンイカ</t>
    </rPh>
    <phoneticPr fontId="1"/>
  </si>
  <si>
    <t>合計所得金額2400万円超2450万円以下</t>
    <rPh sb="0" eb="4">
      <t>ゴウケイショトク</t>
    </rPh>
    <rPh sb="4" eb="6">
      <t>キンガク</t>
    </rPh>
    <rPh sb="10" eb="12">
      <t>マンエン</t>
    </rPh>
    <rPh sb="12" eb="13">
      <t>チョウ</t>
    </rPh>
    <rPh sb="17" eb="19">
      <t>マンエン</t>
    </rPh>
    <rPh sb="19" eb="21">
      <t>イカ</t>
    </rPh>
    <phoneticPr fontId="1"/>
  </si>
  <si>
    <t>合計所得金額2450万円超2500万円以下</t>
    <rPh sb="0" eb="4">
      <t>ゴウケイショトク</t>
    </rPh>
    <rPh sb="4" eb="6">
      <t>キンガク</t>
    </rPh>
    <rPh sb="10" eb="12">
      <t>マンエン</t>
    </rPh>
    <rPh sb="12" eb="13">
      <t>チョウ</t>
    </rPh>
    <rPh sb="17" eb="19">
      <t>マンエン</t>
    </rPh>
    <rPh sb="19" eb="21">
      <t>イカ</t>
    </rPh>
    <phoneticPr fontId="1"/>
  </si>
  <si>
    <t>合計所得金額2500万円超</t>
    <rPh sb="0" eb="6">
      <t>ゴウケイショトクキンガク</t>
    </rPh>
    <rPh sb="10" eb="12">
      <t>マンエン</t>
    </rPh>
    <phoneticPr fontId="1"/>
  </si>
  <si>
    <t>子どもの均等割軽減後早見表</t>
    <rPh sb="0" eb="1">
      <t>コ</t>
    </rPh>
    <rPh sb="4" eb="9">
      <t>キントウワリケイゲン</t>
    </rPh>
    <rPh sb="9" eb="10">
      <t>ゴ</t>
    </rPh>
    <rPh sb="10" eb="12">
      <t>ハヤミ</t>
    </rPh>
    <rPh sb="12" eb="13">
      <t>ヒョウ</t>
    </rPh>
    <phoneticPr fontId="1"/>
  </si>
  <si>
    <t>軽減なし</t>
    <rPh sb="0" eb="2">
      <t>ケイゲン</t>
    </rPh>
    <phoneticPr fontId="1"/>
  </si>
  <si>
    <t>均等割額対象者数
（子ども除く）</t>
    <rPh sb="0" eb="3">
      <t>キントウワリ</t>
    </rPh>
    <rPh sb="3" eb="4">
      <t>ガク</t>
    </rPh>
    <rPh sb="4" eb="7">
      <t>タイショウシャ</t>
    </rPh>
    <rPh sb="7" eb="8">
      <t>スウ</t>
    </rPh>
    <rPh sb="10" eb="11">
      <t>コ</t>
    </rPh>
    <rPh sb="13" eb="14">
      <t>ノゾ</t>
    </rPh>
    <phoneticPr fontId="1"/>
  </si>
  <si>
    <t>(p)</t>
    <phoneticPr fontId="1"/>
  </si>
  <si>
    <t>(o)=(a)*(b)-(p)</t>
    <phoneticPr fontId="1"/>
  </si>
  <si>
    <t>子ども均等割対象者数</t>
    <rPh sb="0" eb="1">
      <t>コ</t>
    </rPh>
    <rPh sb="3" eb="6">
      <t>キントウワリ</t>
    </rPh>
    <rPh sb="6" eb="8">
      <t>タイショウ</t>
    </rPh>
    <rPh sb="8" eb="9">
      <t>シャ</t>
    </rPh>
    <rPh sb="9" eb="10">
      <t>スウ</t>
    </rPh>
    <phoneticPr fontId="1"/>
  </si>
  <si>
    <t>(q)=(o)+(p)</t>
    <phoneticPr fontId="1"/>
  </si>
  <si>
    <t>均等割額対象者合計</t>
    <rPh sb="0" eb="3">
      <t>キントウワリ</t>
    </rPh>
    <rPh sb="3" eb="4">
      <t>ガク</t>
    </rPh>
    <rPh sb="4" eb="6">
      <t>タイショウ</t>
    </rPh>
    <rPh sb="6" eb="7">
      <t>シャ</t>
    </rPh>
    <rPh sb="7" eb="9">
      <t>ゴウケイ</t>
    </rPh>
    <phoneticPr fontId="1"/>
  </si>
  <si>
    <t>国保加入日</t>
    <rPh sb="0" eb="2">
      <t>コクホ</t>
    </rPh>
    <rPh sb="2" eb="4">
      <t>カニュウ</t>
    </rPh>
    <rPh sb="4" eb="5">
      <t>ビ</t>
    </rPh>
    <phoneticPr fontId="1"/>
  </si>
  <si>
    <t>月別保険料計算表</t>
    <rPh sb="0" eb="2">
      <t>ツキベツ</t>
    </rPh>
    <rPh sb="2" eb="4">
      <t>ホケン</t>
    </rPh>
    <rPh sb="4" eb="5">
      <t>リョウ</t>
    </rPh>
    <rPh sb="5" eb="7">
      <t>ケイサン</t>
    </rPh>
    <rPh sb="7" eb="8">
      <t>ヒョウ</t>
    </rPh>
    <phoneticPr fontId="1"/>
  </si>
  <si>
    <r>
      <rPr>
        <b/>
        <sz val="12"/>
        <color rgb="FFFF0000"/>
        <rFont val="HG丸ｺﾞｼｯｸM-PRO"/>
        <family val="3"/>
        <charset val="128"/>
      </rPr>
      <t>※注意①</t>
    </r>
    <r>
      <rPr>
        <b/>
        <sz val="12"/>
        <color theme="1"/>
        <rFont val="HG丸ｺﾞｼｯｸM-PRO"/>
        <family val="3"/>
        <charset val="128"/>
      </rPr>
      <t>　国保加入日は「社会保険の資格喪失日」です。「社会保険の資格喪失日」は「退職日の翌日」となります。</t>
    </r>
    <rPh sb="1" eb="3">
      <t>チュウイ</t>
    </rPh>
    <rPh sb="5" eb="7">
      <t>コクホ</t>
    </rPh>
    <rPh sb="7" eb="9">
      <t>カニュウ</t>
    </rPh>
    <rPh sb="9" eb="10">
      <t>ビ</t>
    </rPh>
    <rPh sb="12" eb="16">
      <t>シャカイホケン</t>
    </rPh>
    <rPh sb="17" eb="21">
      <t>シカクソウシツ</t>
    </rPh>
    <rPh sb="21" eb="22">
      <t>ビ</t>
    </rPh>
    <rPh sb="27" eb="31">
      <t>シャカイホケン</t>
    </rPh>
    <rPh sb="32" eb="36">
      <t>シカクソウシツ</t>
    </rPh>
    <rPh sb="36" eb="37">
      <t>ニチ</t>
    </rPh>
    <rPh sb="40" eb="42">
      <t>タイショク</t>
    </rPh>
    <rPh sb="42" eb="43">
      <t>ビ</t>
    </rPh>
    <rPh sb="44" eb="46">
      <t>ヨクジツ</t>
    </rPh>
    <phoneticPr fontId="1"/>
  </si>
  <si>
    <t>保険料の算定対象額
（総所得金額等 －
基礎控除）
※会社都合の失業反映後</t>
    <rPh sb="0" eb="3">
      <t>ホケンリョウ</t>
    </rPh>
    <rPh sb="4" eb="6">
      <t>サンテイ</t>
    </rPh>
    <rPh sb="6" eb="8">
      <t>タイショウ</t>
    </rPh>
    <rPh sb="8" eb="9">
      <t>ガク</t>
    </rPh>
    <rPh sb="11" eb="14">
      <t>ソウショトク</t>
    </rPh>
    <rPh sb="14" eb="16">
      <t>キンガク</t>
    </rPh>
    <rPh sb="16" eb="17">
      <t>トウ</t>
    </rPh>
    <rPh sb="20" eb="22">
      <t>キソ</t>
    </rPh>
    <rPh sb="22" eb="24">
      <t>コウジョ</t>
    </rPh>
    <rPh sb="27" eb="29">
      <t>カイシャ</t>
    </rPh>
    <rPh sb="29" eb="31">
      <t>ツゴウ</t>
    </rPh>
    <rPh sb="32" eb="34">
      <t>シツギョウ</t>
    </rPh>
    <rPh sb="34" eb="36">
      <t>ハンエイ</t>
    </rPh>
    <rPh sb="36" eb="37">
      <t>ゴ</t>
    </rPh>
    <phoneticPr fontId="1"/>
  </si>
  <si>
    <t>(r)=(a)*(g)</t>
    <phoneticPr fontId="1"/>
  </si>
  <si>
    <t>(s)=(m)合計-(q)</t>
    <rPh sb="7" eb="9">
      <t>ゴウケイ</t>
    </rPh>
    <phoneticPr fontId="1"/>
  </si>
  <si>
    <t>算定期間</t>
    <rPh sb="0" eb="2">
      <t>サンテイ</t>
    </rPh>
    <rPh sb="2" eb="4">
      <t>キカン</t>
    </rPh>
    <phoneticPr fontId="1"/>
  </si>
  <si>
    <t>終期</t>
    <rPh sb="0" eb="2">
      <t>シュウキ</t>
    </rPh>
    <phoneticPr fontId="1"/>
  </si>
  <si>
    <t>始期</t>
    <rPh sb="0" eb="2">
      <t>シキ</t>
    </rPh>
    <phoneticPr fontId="1"/>
  </si>
  <si>
    <t>加入該当月</t>
    <rPh sb="0" eb="2">
      <t>カニュウ</t>
    </rPh>
    <rPh sb="2" eb="4">
      <t>ガイトウ</t>
    </rPh>
    <rPh sb="4" eb="5">
      <t>ツキ</t>
    </rPh>
    <phoneticPr fontId="1"/>
  </si>
  <si>
    <t>加入月数</t>
    <rPh sb="0" eb="2">
      <t>カニュウ</t>
    </rPh>
    <rPh sb="2" eb="4">
      <t>ツキスウ</t>
    </rPh>
    <phoneticPr fontId="1"/>
  </si>
  <si>
    <t>加入期間早見表</t>
    <rPh sb="0" eb="2">
      <t>カニュウ</t>
    </rPh>
    <rPh sb="2" eb="4">
      <t>キカン</t>
    </rPh>
    <rPh sb="4" eb="6">
      <t>ハヤミ</t>
    </rPh>
    <rPh sb="6" eb="7">
      <t>ヒョウ</t>
    </rPh>
    <phoneticPr fontId="1"/>
  </si>
  <si>
    <t>国保加入日が確認したい年度（4月1日）より前の場合には空欄となります</t>
    <rPh sb="0" eb="4">
      <t>コクホカニュウ</t>
    </rPh>
    <rPh sb="4" eb="5">
      <t>ビ</t>
    </rPh>
    <rPh sb="6" eb="8">
      <t>カクニン</t>
    </rPh>
    <rPh sb="11" eb="13">
      <t>ネンド</t>
    </rPh>
    <rPh sb="15" eb="16">
      <t>ガツ</t>
    </rPh>
    <rPh sb="17" eb="18">
      <t>ニチ</t>
    </rPh>
    <rPh sb="21" eb="22">
      <t>マエ</t>
    </rPh>
    <rPh sb="23" eb="25">
      <t>バアイ</t>
    </rPh>
    <rPh sb="27" eb="29">
      <t>クウラン</t>
    </rPh>
    <phoneticPr fontId="1"/>
  </si>
  <si>
    <t>　　【注意事項】</t>
    <rPh sb="3" eb="5">
      <t>チュウイ</t>
    </rPh>
    <rPh sb="5" eb="7">
      <t>ジコウ</t>
    </rPh>
    <phoneticPr fontId="1"/>
  </si>
  <si>
    <t>　（該当離職理由コード：11,12,21,22,23,31,32,33,34）</t>
    <phoneticPr fontId="1"/>
  </si>
  <si>
    <t>　※会社都合による失業の場合でも、傷病手当金の受給など失業保険を受給することが出来ない場合には軽減対象とならない場合があります。</t>
    <rPh sb="2" eb="4">
      <t>カイシャ</t>
    </rPh>
    <rPh sb="4" eb="6">
      <t>ツゴウ</t>
    </rPh>
    <rPh sb="9" eb="11">
      <t>シツギョウ</t>
    </rPh>
    <rPh sb="12" eb="14">
      <t>バアイ</t>
    </rPh>
    <rPh sb="17" eb="22">
      <t>ショウビョウテアテキン</t>
    </rPh>
    <rPh sb="23" eb="25">
      <t>ジュキュウ</t>
    </rPh>
    <rPh sb="27" eb="29">
      <t>シツギョウ</t>
    </rPh>
    <rPh sb="29" eb="31">
      <t>ホケン</t>
    </rPh>
    <rPh sb="32" eb="34">
      <t>ジュキュウ</t>
    </rPh>
    <rPh sb="39" eb="41">
      <t>デキ</t>
    </rPh>
    <rPh sb="43" eb="45">
      <t>バアイ</t>
    </rPh>
    <rPh sb="47" eb="49">
      <t>ケイゲン</t>
    </rPh>
    <rPh sb="49" eb="51">
      <t>タイショウ</t>
    </rPh>
    <rPh sb="56" eb="58">
      <t>バアイ</t>
    </rPh>
    <phoneticPr fontId="1"/>
  </si>
  <si>
    <r>
      <rPr>
        <vertAlign val="superscript"/>
        <sz val="14"/>
        <rFont val="HG丸ｺﾞｼｯｸM-PRO"/>
        <family val="3"/>
        <charset val="128"/>
      </rPr>
      <t>*5</t>
    </r>
    <r>
      <rPr>
        <sz val="12"/>
        <rFont val="HG丸ｺﾞｼｯｸM-PRO"/>
        <family val="3"/>
        <charset val="128"/>
      </rPr>
      <t xml:space="preserve"> 64歳以下の方が会社都合で失業した場合、その方の給与所得を30/100にして保険料を算出します。該当する場合は○を選択 して</t>
    </r>
    <rPh sb="5" eb="6">
      <t>サイ</t>
    </rPh>
    <rPh sb="6" eb="8">
      <t>イカ</t>
    </rPh>
    <rPh sb="9" eb="10">
      <t>カタ</t>
    </rPh>
    <rPh sb="25" eb="26">
      <t>カタ</t>
    </rPh>
    <rPh sb="27" eb="29">
      <t>キュウヨ</t>
    </rPh>
    <rPh sb="41" eb="44">
      <t>ホケンリョウ</t>
    </rPh>
    <rPh sb="45" eb="47">
      <t>サンシュツ</t>
    </rPh>
    <phoneticPr fontId="1"/>
  </si>
  <si>
    <t>を正しく計算することができません。</t>
    <rPh sb="1" eb="2">
      <t>タダ</t>
    </rPh>
    <phoneticPr fontId="1"/>
  </si>
  <si>
    <r>
      <t>令和</t>
    </r>
    <r>
      <rPr>
        <b/>
        <sz val="26"/>
        <color rgb="FFFF0000"/>
        <rFont val="HG丸ｺﾞｼｯｸM-PRO"/>
        <family val="3"/>
        <charset val="128"/>
      </rPr>
      <t>４</t>
    </r>
    <r>
      <rPr>
        <b/>
        <sz val="26"/>
        <color theme="1"/>
        <rFont val="HG丸ｺﾞｼｯｸM-PRO"/>
        <family val="3"/>
        <charset val="128"/>
      </rPr>
      <t>年度　鳥栖市国民健康保険税の試算シート</t>
    </r>
    <rPh sb="0" eb="2">
      <t>レイワ</t>
    </rPh>
    <rPh sb="3" eb="5">
      <t>ネンド</t>
    </rPh>
    <rPh sb="6" eb="9">
      <t>トスシ</t>
    </rPh>
    <rPh sb="9" eb="11">
      <t>コクミン</t>
    </rPh>
    <rPh sb="11" eb="13">
      <t>ケンコウ</t>
    </rPh>
    <rPh sb="13" eb="15">
      <t>ホケン</t>
    </rPh>
    <rPh sb="15" eb="16">
      <t>ゼイ</t>
    </rPh>
    <rPh sb="17" eb="19">
      <t>シサン</t>
    </rPh>
    <phoneticPr fontId="1"/>
  </si>
  <si>
    <t>税率</t>
    <rPh sb="0" eb="2">
      <t>ゼイリツ</t>
    </rPh>
    <phoneticPr fontId="1"/>
  </si>
  <si>
    <r>
      <t>*3</t>
    </r>
    <r>
      <rPr>
        <sz val="12"/>
        <color theme="1"/>
        <rFont val="HG丸ｺﾞｼｯｸM-PRO"/>
        <family val="3"/>
        <charset val="128"/>
      </rPr>
      <t xml:space="preserve"> 公的年金等所得はリンクを参考に算出してください。</t>
    </r>
    <rPh sb="3" eb="5">
      <t>コウテキ</t>
    </rPh>
    <rPh sb="5" eb="7">
      <t>ネンキン</t>
    </rPh>
    <rPh sb="7" eb="8">
      <t>トウ</t>
    </rPh>
    <rPh sb="8" eb="10">
      <t>ショトク</t>
    </rPh>
    <rPh sb="15" eb="17">
      <t>サンコウ</t>
    </rPh>
    <rPh sb="18" eb="20">
      <t>サンシュツ</t>
    </rPh>
    <phoneticPr fontId="1"/>
  </si>
  <si>
    <t>　ください。なお、この制度の適用には申請が必要です。（雇用保険受給資格者証※を税務課まで提示してください）</t>
    <rPh sb="11" eb="13">
      <t>セイド</t>
    </rPh>
    <rPh sb="14" eb="16">
      <t>テキヨウ</t>
    </rPh>
    <rPh sb="18" eb="20">
      <t>シンセイ</t>
    </rPh>
    <rPh sb="21" eb="23">
      <t>ヒツヨウ</t>
    </rPh>
    <rPh sb="27" eb="29">
      <t>コヨウ</t>
    </rPh>
    <rPh sb="29" eb="31">
      <t>ホケン</t>
    </rPh>
    <rPh sb="31" eb="33">
      <t>ジュキュウ</t>
    </rPh>
    <rPh sb="33" eb="36">
      <t>シカクシャ</t>
    </rPh>
    <rPh sb="36" eb="37">
      <t>ショウ</t>
    </rPh>
    <rPh sb="39" eb="42">
      <t>ゼイムカ</t>
    </rPh>
    <rPh sb="44" eb="46">
      <t>テイジ</t>
    </rPh>
    <phoneticPr fontId="1"/>
  </si>
  <si>
    <t>世帯別平等割</t>
    <rPh sb="0" eb="2">
      <t>セタイ</t>
    </rPh>
    <rPh sb="2" eb="3">
      <t>ベツ</t>
    </rPh>
    <rPh sb="3" eb="5">
      <t>ビョウドウ</t>
    </rPh>
    <rPh sb="5" eb="6">
      <t>ワリ</t>
    </rPh>
    <phoneticPr fontId="1"/>
  </si>
  <si>
    <r>
      <rPr>
        <b/>
        <sz val="12"/>
        <color rgb="FFFF0000"/>
        <rFont val="HG丸ｺﾞｼｯｸM-PRO"/>
        <family val="3"/>
        <charset val="128"/>
      </rPr>
      <t>※注意②</t>
    </r>
    <r>
      <rPr>
        <b/>
        <sz val="12"/>
        <color theme="1"/>
        <rFont val="HG丸ｺﾞｼｯｸM-PRO"/>
        <family val="3"/>
        <charset val="128"/>
      </rPr>
      <t>　保険税は「日割」ではなく、「月割」での計算となります。</t>
    </r>
    <rPh sb="1" eb="3">
      <t>チュウイ</t>
    </rPh>
    <rPh sb="5" eb="7">
      <t>ホケン</t>
    </rPh>
    <rPh sb="7" eb="8">
      <t>ゼイ</t>
    </rPh>
    <rPh sb="10" eb="12">
      <t>ヒワ</t>
    </rPh>
    <rPh sb="19" eb="21">
      <t>ツキワ</t>
    </rPh>
    <rPh sb="24" eb="26">
      <t>ケイサン</t>
    </rPh>
    <phoneticPr fontId="1"/>
  </si>
  <si>
    <t>※注意④　既に国保に加入している方がいる世帯に年度途中で国保に加入する方がいる場合は、「加入月数に応じた保険税」</t>
    <rPh sb="1" eb="3">
      <t>チュウイ</t>
    </rPh>
    <rPh sb="5" eb="6">
      <t>スデ</t>
    </rPh>
    <rPh sb="7" eb="9">
      <t>コクホ</t>
    </rPh>
    <rPh sb="10" eb="12">
      <t>カニュウ</t>
    </rPh>
    <rPh sb="16" eb="17">
      <t>カタ</t>
    </rPh>
    <rPh sb="20" eb="22">
      <t>セタイ</t>
    </rPh>
    <rPh sb="23" eb="25">
      <t>ネンド</t>
    </rPh>
    <rPh sb="25" eb="27">
      <t>トチュウ</t>
    </rPh>
    <rPh sb="28" eb="30">
      <t>コクホ</t>
    </rPh>
    <rPh sb="31" eb="33">
      <t>カニュウ</t>
    </rPh>
    <rPh sb="35" eb="36">
      <t>カタ</t>
    </rPh>
    <rPh sb="39" eb="41">
      <t>バアイ</t>
    </rPh>
    <rPh sb="54" eb="55">
      <t>ゼイ</t>
    </rPh>
    <phoneticPr fontId="1"/>
  </si>
  <si>
    <t>通　常</t>
    <rPh sb="0" eb="1">
      <t>ツウ</t>
    </rPh>
    <rPh sb="2" eb="3">
      <t>ツネ</t>
    </rPh>
    <phoneticPr fontId="1"/>
  </si>
  <si>
    <t>平等割早見表</t>
    <rPh sb="0" eb="2">
      <t>ビョウドウ</t>
    </rPh>
    <rPh sb="2" eb="3">
      <t>ワリ</t>
    </rPh>
    <rPh sb="3" eb="6">
      <t>ハヤミヒョウ</t>
    </rPh>
    <phoneticPr fontId="1"/>
  </si>
  <si>
    <t>支援金</t>
    <rPh sb="0" eb="3">
      <t>シエンキン</t>
    </rPh>
    <phoneticPr fontId="1"/>
  </si>
  <si>
    <t>介護</t>
    <rPh sb="0" eb="2">
      <t>カイゴ</t>
    </rPh>
    <phoneticPr fontId="1"/>
  </si>
  <si>
    <t>※注意⑤　ひと月あたりの保険税額＝納付書1枚あたりの支払額ではありません。国保加入手続きをされた日付により</t>
    <rPh sb="1" eb="3">
      <t>チュウイ</t>
    </rPh>
    <rPh sb="7" eb="8">
      <t>ツキ</t>
    </rPh>
    <rPh sb="12" eb="14">
      <t>ホケン</t>
    </rPh>
    <rPh sb="14" eb="16">
      <t>ゼイガク</t>
    </rPh>
    <rPh sb="17" eb="19">
      <t>ノウフ</t>
    </rPh>
    <rPh sb="19" eb="20">
      <t>ショ</t>
    </rPh>
    <rPh sb="21" eb="22">
      <t>マイ</t>
    </rPh>
    <rPh sb="26" eb="28">
      <t>シハライ</t>
    </rPh>
    <rPh sb="28" eb="29">
      <t>ガク</t>
    </rPh>
    <rPh sb="37" eb="39">
      <t>コクホ</t>
    </rPh>
    <rPh sb="39" eb="41">
      <t>カニュウ</t>
    </rPh>
    <rPh sb="41" eb="43">
      <t>テツヅ</t>
    </rPh>
    <rPh sb="48" eb="50">
      <t>ヒヅケ</t>
    </rPh>
    <phoneticPr fontId="1"/>
  </si>
  <si>
    <t>1回の納期限（１枚の納付書）で支払う税額は変動します。</t>
    <rPh sb="1" eb="2">
      <t>カイ</t>
    </rPh>
    <rPh sb="3" eb="6">
      <t>ノウキゲン</t>
    </rPh>
    <rPh sb="8" eb="9">
      <t>マイ</t>
    </rPh>
    <rPh sb="10" eb="13">
      <t>ノウフショ</t>
    </rPh>
    <rPh sb="15" eb="17">
      <t>シハラ</t>
    </rPh>
    <rPh sb="18" eb="20">
      <t>ゼイガク</t>
    </rPh>
    <rPh sb="21" eb="23">
      <t>ヘンドウ</t>
    </rPh>
    <phoneticPr fontId="1"/>
  </si>
  <si>
    <t>年間保険税額（12か月分の概算額）　</t>
    <rPh sb="0" eb="2">
      <t>ネンカン</t>
    </rPh>
    <rPh sb="2" eb="4">
      <t>ホケン</t>
    </rPh>
    <rPh sb="4" eb="6">
      <t>ゼイガク</t>
    </rPh>
    <rPh sb="10" eb="12">
      <t>ゲツブン</t>
    </rPh>
    <rPh sb="13" eb="15">
      <t>ガイサン</t>
    </rPh>
    <rPh sb="15" eb="16">
      <t>ガク</t>
    </rPh>
    <phoneticPr fontId="1"/>
  </si>
  <si>
    <r>
      <rPr>
        <b/>
        <sz val="12"/>
        <color rgb="FFFF0000"/>
        <rFont val="HG丸ｺﾞｼｯｸM-PRO"/>
        <family val="3"/>
        <charset val="128"/>
      </rPr>
      <t>※注意⑤</t>
    </r>
    <r>
      <rPr>
        <b/>
        <sz val="12"/>
        <color theme="1"/>
        <rFont val="HG丸ｺﾞｼｯｸM-PRO"/>
        <family val="3"/>
        <charset val="128"/>
      </rPr>
      <t>　</t>
    </r>
    <r>
      <rPr>
        <b/>
        <sz val="14"/>
        <color rgb="FFFF0000"/>
        <rFont val="HG丸ｺﾞｼｯｸM-PRO"/>
        <family val="3"/>
        <charset val="128"/>
      </rPr>
      <t>本表の結果はあくまで試算です。実際の保険税額とは異なる場合があります。</t>
    </r>
    <rPh sb="5" eb="6">
      <t>ホン</t>
    </rPh>
    <rPh sb="6" eb="7">
      <t>ヒョウ</t>
    </rPh>
    <rPh sb="8" eb="10">
      <t>ケッカ</t>
    </rPh>
    <rPh sb="15" eb="17">
      <t>シサン</t>
    </rPh>
    <rPh sb="20" eb="22">
      <t>ジッサイ</t>
    </rPh>
    <rPh sb="23" eb="25">
      <t>ホケン</t>
    </rPh>
    <rPh sb="25" eb="27">
      <t>ゼイガク</t>
    </rPh>
    <rPh sb="29" eb="30">
      <t>コト</t>
    </rPh>
    <rPh sb="32" eb="34">
      <t>バアイ</t>
    </rPh>
    <phoneticPr fontId="1"/>
  </si>
  <si>
    <t>（例）.夫はずっと国保だったが、６月１日から妻が国保に加入する場合</t>
    <rPh sb="1" eb="2">
      <t>レイ</t>
    </rPh>
    <rPh sb="4" eb="5">
      <t>オット</t>
    </rPh>
    <rPh sb="9" eb="11">
      <t>コクホ</t>
    </rPh>
    <rPh sb="17" eb="18">
      <t>ガツ</t>
    </rPh>
    <rPh sb="19" eb="20">
      <t>ニチ</t>
    </rPh>
    <rPh sb="22" eb="23">
      <t>ツマ</t>
    </rPh>
    <rPh sb="24" eb="26">
      <t>コクホ</t>
    </rPh>
    <rPh sb="27" eb="29">
      <t>カニュウ</t>
    </rPh>
    <rPh sb="31" eb="33">
      <t>バアイ</t>
    </rPh>
    <phoneticPr fontId="1"/>
  </si>
  <si>
    <t>加入月数に応じた保険税額→</t>
    <rPh sb="0" eb="4">
      <t>カニュウツキスウ</t>
    </rPh>
    <rPh sb="5" eb="6">
      <t>オウ</t>
    </rPh>
    <rPh sb="8" eb="10">
      <t>ホケン</t>
    </rPh>
    <rPh sb="10" eb="12">
      <t>ゼイガク</t>
    </rPh>
    <phoneticPr fontId="1"/>
  </si>
  <si>
    <t>ヶ月分</t>
    <rPh sb="1" eb="2">
      <t>ゲツ</t>
    </rPh>
    <rPh sb="2" eb="3">
      <t>ブン</t>
    </rPh>
    <phoneticPr fontId="1"/>
  </si>
  <si>
    <t>世帯主・納税義務者</t>
    <rPh sb="0" eb="3">
      <t>セタイヌシ</t>
    </rPh>
    <rPh sb="4" eb="6">
      <t>ノウゼイ</t>
    </rPh>
    <rPh sb="6" eb="9">
      <t>ギムシャ</t>
    </rPh>
    <phoneticPr fontId="1"/>
  </si>
  <si>
    <t>給与所得の収入金額の合計額</t>
    <rPh sb="0" eb="2">
      <t>キュウヨ</t>
    </rPh>
    <rPh sb="2" eb="4">
      <t>ショトク</t>
    </rPh>
    <rPh sb="5" eb="7">
      <t>シュウニュウ</t>
    </rPh>
    <rPh sb="7" eb="9">
      <t>キンガク</t>
    </rPh>
    <rPh sb="10" eb="12">
      <t>ゴウケイ</t>
    </rPh>
    <rPh sb="12" eb="13">
      <t>ガク</t>
    </rPh>
    <phoneticPr fontId="1"/>
  </si>
  <si>
    <t>給与所得の金額の算出</t>
    <rPh sb="0" eb="2">
      <t>キュウヨ</t>
    </rPh>
    <rPh sb="2" eb="4">
      <t>ショトク</t>
    </rPh>
    <rPh sb="5" eb="7">
      <t>キンガク</t>
    </rPh>
    <rPh sb="8" eb="10">
      <t>サンシュツ</t>
    </rPh>
    <phoneticPr fontId="1"/>
  </si>
  <si>
    <t>～</t>
    <phoneticPr fontId="1"/>
  </si>
  <si>
    <t>給与収入額</t>
    <rPh sb="0" eb="2">
      <t>キュウヨ</t>
    </rPh>
    <rPh sb="2" eb="4">
      <t>シュウニュウ</t>
    </rPh>
    <rPh sb="4" eb="5">
      <t>ガク</t>
    </rPh>
    <phoneticPr fontId="1"/>
  </si>
  <si>
    <t>給与所得額</t>
    <rPh sb="0" eb="2">
      <t>キュウヨ</t>
    </rPh>
    <rPh sb="2" eb="4">
      <t>ショトク</t>
    </rPh>
    <rPh sb="4" eb="5">
      <t>ガク</t>
    </rPh>
    <phoneticPr fontId="1"/>
  </si>
  <si>
    <t>※枠内が空白の場合</t>
    <rPh sb="1" eb="3">
      <t>ワクナイ</t>
    </rPh>
    <rPh sb="4" eb="6">
      <t>クウハク</t>
    </rPh>
    <rPh sb="7" eb="9">
      <t>バアイ</t>
    </rPh>
    <phoneticPr fontId="1"/>
  </si>
  <si>
    <t>円</t>
    <rPh sb="0" eb="1">
      <t>エン</t>
    </rPh>
    <phoneticPr fontId="1"/>
  </si>
  <si>
    <t>★</t>
    <phoneticPr fontId="1"/>
  </si>
  <si>
    <t>源泉徴収票の支払金額を入力してください</t>
    <rPh sb="0" eb="2">
      <t>ゲンセン</t>
    </rPh>
    <rPh sb="2" eb="5">
      <t>チョウシュウヒョウ</t>
    </rPh>
    <rPh sb="6" eb="8">
      <t>シハライ</t>
    </rPh>
    <rPh sb="8" eb="10">
      <t>キンガク</t>
    </rPh>
    <rPh sb="11" eb="13">
      <t>ニュウリョク</t>
    </rPh>
    <phoneticPr fontId="1"/>
  </si>
  <si>
    <t>年齢65歳未満の人</t>
    <rPh sb="0" eb="2">
      <t>ネンレイ</t>
    </rPh>
    <rPh sb="4" eb="5">
      <t>サイ</t>
    </rPh>
    <rPh sb="5" eb="7">
      <t>ミマン</t>
    </rPh>
    <rPh sb="8" eb="9">
      <t>ヒト</t>
    </rPh>
    <phoneticPr fontId="1"/>
  </si>
  <si>
    <t>公的年金等の収入金額の合計額</t>
    <rPh sb="0" eb="2">
      <t>コウテキ</t>
    </rPh>
    <rPh sb="2" eb="4">
      <t>ネンキン</t>
    </rPh>
    <rPh sb="4" eb="5">
      <t>トウ</t>
    </rPh>
    <rPh sb="6" eb="8">
      <t>シュウニュウ</t>
    </rPh>
    <rPh sb="8" eb="10">
      <t>キンガク</t>
    </rPh>
    <rPh sb="11" eb="13">
      <t>ゴウケイ</t>
    </rPh>
    <rPh sb="13" eb="14">
      <t>ガク</t>
    </rPh>
    <phoneticPr fontId="1"/>
  </si>
  <si>
    <t>年金所得の金額の算出</t>
    <rPh sb="0" eb="2">
      <t>ネンキン</t>
    </rPh>
    <rPh sb="2" eb="4">
      <t>ショトク</t>
    </rPh>
    <rPh sb="5" eb="7">
      <t>キンガク</t>
    </rPh>
    <rPh sb="8" eb="10">
      <t>サンシュツ</t>
    </rPh>
    <phoneticPr fontId="1"/>
  </si>
  <si>
    <t>年齢65歳以上の人</t>
    <rPh sb="0" eb="2">
      <t>ネンレイ</t>
    </rPh>
    <rPh sb="4" eb="5">
      <t>サイ</t>
    </rPh>
    <rPh sb="5" eb="7">
      <t>イジョウ</t>
    </rPh>
    <rPh sb="8" eb="9">
      <t>ヒト</t>
    </rPh>
    <phoneticPr fontId="1"/>
  </si>
  <si>
    <t>公的年金収入額</t>
    <rPh sb="0" eb="2">
      <t>コウテキ</t>
    </rPh>
    <rPh sb="2" eb="4">
      <t>ネンキン</t>
    </rPh>
    <rPh sb="4" eb="6">
      <t>シュウニュウ</t>
    </rPh>
    <rPh sb="6" eb="7">
      <t>ガク</t>
    </rPh>
    <phoneticPr fontId="1"/>
  </si>
  <si>
    <t>公的年金等に係る雑所得</t>
    <rPh sb="0" eb="2">
      <t>コウテキ</t>
    </rPh>
    <rPh sb="2" eb="4">
      <t>ネンキン</t>
    </rPh>
    <rPh sb="4" eb="5">
      <t>トウ</t>
    </rPh>
    <rPh sb="6" eb="7">
      <t>カカ</t>
    </rPh>
    <rPh sb="8" eb="11">
      <t>ザツショトク</t>
    </rPh>
    <phoneticPr fontId="1"/>
  </si>
  <si>
    <t>ひと月あたりの保険税額※</t>
    <rPh sb="2" eb="3">
      <t>ツキ</t>
    </rPh>
    <rPh sb="7" eb="9">
      <t>ホケン</t>
    </rPh>
    <rPh sb="9" eb="10">
      <t>ゼイ</t>
    </rPh>
    <rPh sb="10" eb="11">
      <t>ガク</t>
    </rPh>
    <phoneticPr fontId="1"/>
  </si>
  <si>
    <r>
      <rPr>
        <b/>
        <sz val="12"/>
        <color rgb="FFFF0000"/>
        <rFont val="HG丸ｺﾞｼｯｸM-PRO"/>
        <family val="3"/>
        <charset val="128"/>
      </rPr>
      <t>※注意③</t>
    </r>
    <r>
      <rPr>
        <b/>
        <sz val="12"/>
        <color theme="1"/>
        <rFont val="HG丸ｺﾞｼｯｸM-PRO"/>
        <family val="3"/>
        <charset val="128"/>
      </rPr>
      <t>　年度途中に世帯構成の変更（加入・脱退）がある場合は税額が変動します。</t>
    </r>
    <rPh sb="5" eb="7">
      <t>ネンド</t>
    </rPh>
    <rPh sb="7" eb="9">
      <t>トチュウ</t>
    </rPh>
    <rPh sb="10" eb="12">
      <t>セタイ</t>
    </rPh>
    <rPh sb="12" eb="14">
      <t>コウセイ</t>
    </rPh>
    <rPh sb="15" eb="17">
      <t>ヘンコウ</t>
    </rPh>
    <rPh sb="18" eb="20">
      <t>カニュウ</t>
    </rPh>
    <rPh sb="21" eb="23">
      <t>ダッタイ</t>
    </rPh>
    <rPh sb="27" eb="29">
      <t>バアイ</t>
    </rPh>
    <rPh sb="30" eb="32">
      <t>ゼイガク</t>
    </rPh>
    <rPh sb="33" eb="35">
      <t>ヘンドウ</t>
    </rPh>
    <phoneticPr fontId="1"/>
  </si>
  <si>
    <r>
      <rPr>
        <b/>
        <sz val="12"/>
        <color rgb="FFFF0000"/>
        <rFont val="HG丸ｺﾞｼｯｸM-PRO"/>
        <family val="3"/>
        <charset val="128"/>
      </rPr>
      <t>※注意④</t>
    </r>
    <r>
      <rPr>
        <b/>
        <sz val="12"/>
        <color theme="1"/>
        <rFont val="HG丸ｺﾞｼｯｸM-PRO"/>
        <family val="3"/>
        <charset val="128"/>
      </rPr>
      <t>　年度途中で加入する場合は、加入月に応じた年間保険税額となります。</t>
    </r>
    <rPh sb="5" eb="7">
      <t>ネンド</t>
    </rPh>
    <rPh sb="7" eb="9">
      <t>トチュウ</t>
    </rPh>
    <rPh sb="10" eb="12">
      <t>カニュウ</t>
    </rPh>
    <rPh sb="14" eb="16">
      <t>バアイ</t>
    </rPh>
    <rPh sb="18" eb="20">
      <t>カニュウ</t>
    </rPh>
    <rPh sb="20" eb="21">
      <t>ツキ</t>
    </rPh>
    <rPh sb="22" eb="23">
      <t>オウ</t>
    </rPh>
    <rPh sb="25" eb="27">
      <t>ネンカン</t>
    </rPh>
    <rPh sb="27" eb="29">
      <t>ホケン</t>
    </rPh>
    <rPh sb="29" eb="31">
      <t>ゼイガク</t>
    </rPh>
    <phoneticPr fontId="1"/>
  </si>
  <si>
    <r>
      <rPr>
        <b/>
        <sz val="12"/>
        <color rgb="FFFF0000"/>
        <rFont val="HG丸ｺﾞｼｯｸM-PRO"/>
        <family val="3"/>
        <charset val="128"/>
      </rPr>
      <t>※注意①</t>
    </r>
    <r>
      <rPr>
        <b/>
        <sz val="12"/>
        <color theme="1"/>
        <rFont val="HG丸ｺﾞｼｯｸM-PRO"/>
        <family val="3"/>
        <charset val="128"/>
      </rPr>
      <t>　端数処理の都合で、実際の請求額とは異なる場合があります。</t>
    </r>
    <rPh sb="1" eb="3">
      <t>チュウイ</t>
    </rPh>
    <rPh sb="5" eb="7">
      <t>ハスウ</t>
    </rPh>
    <rPh sb="7" eb="9">
      <t>ショリ</t>
    </rPh>
    <rPh sb="10" eb="12">
      <t>ツゴウ</t>
    </rPh>
    <rPh sb="14" eb="16">
      <t>ジッサイ</t>
    </rPh>
    <rPh sb="17" eb="19">
      <t>セイキュウ</t>
    </rPh>
    <rPh sb="19" eb="20">
      <t>ガク</t>
    </rPh>
    <rPh sb="22" eb="23">
      <t>コト</t>
    </rPh>
    <rPh sb="25" eb="27">
      <t>バアイ</t>
    </rPh>
    <phoneticPr fontId="1"/>
  </si>
  <si>
    <t>STEP  3　　ひと月あたりの保険税額は以下のとおりです</t>
    <rPh sb="11" eb="12">
      <t>ツキ</t>
    </rPh>
    <rPh sb="16" eb="18">
      <t>ホケン</t>
    </rPh>
    <rPh sb="18" eb="19">
      <t>ゼイ</t>
    </rPh>
    <rPh sb="19" eb="20">
      <t>ガク</t>
    </rPh>
    <rPh sb="21" eb="23">
      <t>イカ</t>
    </rPh>
    <phoneticPr fontId="1"/>
  </si>
  <si>
    <r>
      <rPr>
        <vertAlign val="superscript"/>
        <sz val="12"/>
        <color theme="1"/>
        <rFont val="HG丸ｺﾞｼｯｸM-PRO"/>
        <family val="3"/>
        <charset val="128"/>
      </rPr>
      <t>*2</t>
    </r>
    <r>
      <rPr>
        <sz val="12"/>
        <color theme="1"/>
        <rFont val="HG丸ｺﾞｼｯｸM-PRO"/>
        <family val="3"/>
        <charset val="128"/>
      </rPr>
      <t xml:space="preserve"> 源泉徴収票の収入金額から所得金額を確認してください。複数会社より給与がある場合は計算して求める必要があります。</t>
    </r>
    <rPh sb="3" eb="5">
      <t>ゲンセン</t>
    </rPh>
    <rPh sb="5" eb="8">
      <t>チョウシュウヒョウ</t>
    </rPh>
    <rPh sb="9" eb="11">
      <t>シュウニュウ</t>
    </rPh>
    <rPh sb="11" eb="13">
      <t>キンガク</t>
    </rPh>
    <rPh sb="15" eb="17">
      <t>ショトク</t>
    </rPh>
    <rPh sb="17" eb="19">
      <t>キンガク</t>
    </rPh>
    <rPh sb="20" eb="22">
      <t>カクニン</t>
    </rPh>
    <rPh sb="29" eb="31">
      <t>フクスウ</t>
    </rPh>
    <rPh sb="31" eb="33">
      <t>カイシャ</t>
    </rPh>
    <rPh sb="35" eb="37">
      <t>キュウヨ</t>
    </rPh>
    <rPh sb="40" eb="42">
      <t>バアイ</t>
    </rPh>
    <rPh sb="43" eb="45">
      <t>ケイサン</t>
    </rPh>
    <rPh sb="47" eb="48">
      <t>モト</t>
    </rPh>
    <rPh sb="50" eb="52">
      <t>ヒツヨウ</t>
    </rPh>
    <phoneticPr fontId="1"/>
  </si>
  <si>
    <t>STEP　２　　保険税の計算結果は以下のとおりです</t>
    <rPh sb="8" eb="10">
      <t>ホケン</t>
    </rPh>
    <rPh sb="10" eb="11">
      <t>ゼイ</t>
    </rPh>
    <rPh sb="12" eb="14">
      <t>ケイサン</t>
    </rPh>
    <rPh sb="14" eb="16">
      <t>ケッカ</t>
    </rPh>
    <rPh sb="17" eb="19">
      <t>イカ</t>
    </rPh>
    <phoneticPr fontId="1"/>
  </si>
  <si>
    <t>賦課限度額</t>
    <rPh sb="0" eb="2">
      <t>フカ</t>
    </rPh>
    <rPh sb="2" eb="4">
      <t>ゲンド</t>
    </rPh>
    <rPh sb="4" eb="5">
      <t>ガク</t>
    </rPh>
    <phoneticPr fontId="1"/>
  </si>
  <si>
    <t>加入月数分</t>
    <rPh sb="0" eb="2">
      <t>カニュウ</t>
    </rPh>
    <rPh sb="2" eb="4">
      <t>ツキスウ</t>
    </rPh>
    <rPh sb="4" eb="5">
      <t>ブン</t>
    </rPh>
    <phoneticPr fontId="1"/>
  </si>
  <si>
    <t>医療</t>
    <rPh sb="0" eb="2">
      <t>イリョウ</t>
    </rPh>
    <phoneticPr fontId="1"/>
  </si>
  <si>
    <t>支援</t>
    <rPh sb="0" eb="2">
      <t>シエン</t>
    </rPh>
    <phoneticPr fontId="1"/>
  </si>
  <si>
    <t>　※なお、分離課税（特に損益通算の対象となる所得）がある場合については、この試算シートでは正確な保険税をご案内できない場合があります。</t>
    <rPh sb="5" eb="9">
      <t>ブンリカゼイ</t>
    </rPh>
    <rPh sb="10" eb="11">
      <t>トク</t>
    </rPh>
    <rPh sb="28" eb="30">
      <t>バアイ</t>
    </rPh>
    <rPh sb="38" eb="40">
      <t>シサン</t>
    </rPh>
    <rPh sb="45" eb="47">
      <t>セイカク</t>
    </rPh>
    <rPh sb="48" eb="50">
      <t>ホケン</t>
    </rPh>
    <rPh sb="50" eb="51">
      <t>ゼイ</t>
    </rPh>
    <rPh sb="53" eb="55">
      <t>アンナイ</t>
    </rPh>
    <rPh sb="59" eb="61">
      <t>バアイ</t>
    </rPh>
    <phoneticPr fontId="1"/>
  </si>
  <si>
    <r>
      <rPr>
        <vertAlign val="superscript"/>
        <sz val="14"/>
        <color theme="1"/>
        <rFont val="HG丸ｺﾞｼｯｸM-PRO"/>
        <family val="3"/>
        <charset val="128"/>
      </rPr>
      <t>*1</t>
    </r>
    <r>
      <rPr>
        <sz val="12"/>
        <color theme="1"/>
        <rFont val="HG丸ｺﾞｼｯｸM-PRO"/>
        <family val="3"/>
        <charset val="128"/>
      </rPr>
      <t xml:space="preserve"> 擬主とは国保に加入しない世帯主をいいます。保険税の軽減適用世帯に該当するかを判定するため、入力が必要になります。</t>
    </r>
    <rPh sb="3" eb="5">
      <t>ギヌシ</t>
    </rPh>
    <rPh sb="7" eb="9">
      <t>コクホ</t>
    </rPh>
    <rPh sb="10" eb="12">
      <t>カニュウ</t>
    </rPh>
    <rPh sb="15" eb="18">
      <t>セタイヌシ</t>
    </rPh>
    <rPh sb="24" eb="26">
      <t>ホケン</t>
    </rPh>
    <rPh sb="26" eb="27">
      <t>ゼイ</t>
    </rPh>
    <rPh sb="28" eb="30">
      <t>ケイゲン</t>
    </rPh>
    <rPh sb="30" eb="32">
      <t>テキヨウ</t>
    </rPh>
    <rPh sb="32" eb="34">
      <t>セタイ</t>
    </rPh>
    <rPh sb="35" eb="37">
      <t>ガイトウ</t>
    </rPh>
    <rPh sb="41" eb="43">
      <t>ハンテイ</t>
    </rPh>
    <rPh sb="48" eb="50">
      <t>ニュウリョク</t>
    </rPh>
    <rPh sb="51" eb="53">
      <t>ヒツヨウ</t>
    </rPh>
    <phoneticPr fontId="1"/>
  </si>
  <si>
    <r>
      <t>軽減適用世帯所得基準　</t>
    </r>
    <r>
      <rPr>
        <sz val="9"/>
        <rFont val="HG丸ｺﾞｼｯｸM-PRO"/>
        <family val="3"/>
        <charset val="128"/>
      </rPr>
      <t>※変更があったら、こちらの</t>
    </r>
    <r>
      <rPr>
        <sz val="9"/>
        <color rgb="FFFF0000"/>
        <rFont val="HG丸ｺﾞｼｯｸM-PRO"/>
        <family val="3"/>
        <charset val="128"/>
      </rPr>
      <t>赤字の箇所を修正</t>
    </r>
    <r>
      <rPr>
        <sz val="9"/>
        <rFont val="HG丸ｺﾞｼｯｸM-PRO"/>
        <family val="3"/>
        <charset val="128"/>
      </rPr>
      <t>してください。</t>
    </r>
    <rPh sb="0" eb="2">
      <t>ケイゲン</t>
    </rPh>
    <rPh sb="2" eb="4">
      <t>テキヨウ</t>
    </rPh>
    <rPh sb="4" eb="6">
      <t>セタイ</t>
    </rPh>
    <rPh sb="6" eb="8">
      <t>ショトク</t>
    </rPh>
    <rPh sb="8" eb="10">
      <t>キジュン</t>
    </rPh>
    <rPh sb="24" eb="26">
      <t>アカジ</t>
    </rPh>
    <rPh sb="27" eb="29">
      <t>カショ</t>
    </rPh>
    <phoneticPr fontId="1"/>
  </si>
  <si>
    <t>算定期間デフォ（年度を変えるときは赤字の箇所を変更）</t>
    <rPh sb="0" eb="4">
      <t>サンテイキカン</t>
    </rPh>
    <rPh sb="8" eb="10">
      <t>ネンド</t>
    </rPh>
    <rPh sb="11" eb="12">
      <t>カ</t>
    </rPh>
    <rPh sb="17" eb="19">
      <t>アカジ</t>
    </rPh>
    <rPh sb="20" eb="22">
      <t>カショ</t>
    </rPh>
    <rPh sb="23" eb="25">
      <t>ヘンコウ</t>
    </rPh>
    <phoneticPr fontId="1"/>
  </si>
  <si>
    <r>
      <t>制度等改正があったら、</t>
    </r>
    <r>
      <rPr>
        <sz val="11"/>
        <color rgb="FFFF0000"/>
        <rFont val="HG丸ｺﾞｼｯｸM-PRO"/>
        <family val="3"/>
        <charset val="128"/>
      </rPr>
      <t>赤字の箇所</t>
    </r>
    <r>
      <rPr>
        <sz val="11"/>
        <rFont val="HG丸ｺﾞｼｯｸM-PRO"/>
        <family val="3"/>
        <charset val="128"/>
      </rPr>
      <t>を修正してください。</t>
    </r>
    <rPh sb="0" eb="2">
      <t>セイド</t>
    </rPh>
    <rPh sb="2" eb="3">
      <t>トウ</t>
    </rPh>
    <rPh sb="3" eb="5">
      <t>カイセイ</t>
    </rPh>
    <rPh sb="11" eb="13">
      <t>アカジ</t>
    </rPh>
    <rPh sb="14" eb="16">
      <t>カショ</t>
    </rPh>
    <phoneticPr fontId="1"/>
  </si>
  <si>
    <t>★</t>
    <phoneticPr fontId="1"/>
  </si>
  <si>
    <t>↓※支払金額を入力すると、黄色セルに「給与所得金額」が自動計算されます</t>
    <rPh sb="2" eb="4">
      <t>シハライ</t>
    </rPh>
    <rPh sb="4" eb="6">
      <t>キンガク</t>
    </rPh>
    <rPh sb="7" eb="9">
      <t>ニュウリョク</t>
    </rPh>
    <rPh sb="13" eb="15">
      <t>キイロ</t>
    </rPh>
    <rPh sb="19" eb="21">
      <t>キュウヨ</t>
    </rPh>
    <rPh sb="21" eb="23">
      <t>ショトク</t>
    </rPh>
    <rPh sb="23" eb="25">
      <t>キンガク</t>
    </rPh>
    <rPh sb="27" eb="29">
      <t>ジドウ</t>
    </rPh>
    <rPh sb="29" eb="31">
      <t>ケイサン</t>
    </rPh>
    <phoneticPr fontId="1"/>
  </si>
  <si>
    <t>給与所得金額(自動計算）</t>
    <rPh sb="0" eb="2">
      <t>キュウヨ</t>
    </rPh>
    <rPh sb="2" eb="4">
      <t>ショトク</t>
    </rPh>
    <rPh sb="4" eb="6">
      <t>キンガク</t>
    </rPh>
    <rPh sb="7" eb="9">
      <t>ジドウ</t>
    </rPh>
    <rPh sb="9" eb="11">
      <t>ケイサン</t>
    </rPh>
    <phoneticPr fontId="1"/>
  </si>
  <si>
    <t>公的年金等所得金額（自動計算）</t>
    <rPh sb="0" eb="2">
      <t>コウテキ</t>
    </rPh>
    <rPh sb="2" eb="4">
      <t>ネンキン</t>
    </rPh>
    <rPh sb="4" eb="5">
      <t>トウ</t>
    </rPh>
    <rPh sb="5" eb="7">
      <t>ショトク</t>
    </rPh>
    <rPh sb="7" eb="9">
      <t>キンガク</t>
    </rPh>
    <rPh sb="10" eb="12">
      <t>ジドウ</t>
    </rPh>
    <rPh sb="12" eb="14">
      <t>ケイサン</t>
    </rPh>
    <phoneticPr fontId="1"/>
  </si>
  <si>
    <t>加入</t>
  </si>
  <si>
    <t>40～64才</t>
  </si>
  <si>
    <r>
      <t>*3</t>
    </r>
    <r>
      <rPr>
        <sz val="12"/>
        <color theme="1"/>
        <rFont val="HG丸ｺﾞｼｯｸM-PRO"/>
        <family val="3"/>
        <charset val="128"/>
      </rPr>
      <t xml:space="preserve"> 公的年金等所得は源泉徴収票を参考に計算してください。⇒リンクを参照してください</t>
    </r>
    <rPh sb="3" eb="5">
      <t>コウテキ</t>
    </rPh>
    <rPh sb="5" eb="7">
      <t>ネンキン</t>
    </rPh>
    <rPh sb="7" eb="8">
      <t>トウ</t>
    </rPh>
    <rPh sb="8" eb="10">
      <t>ショトク</t>
    </rPh>
    <rPh sb="11" eb="13">
      <t>ゲンセン</t>
    </rPh>
    <rPh sb="13" eb="16">
      <t>チョウシュウヒョウ</t>
    </rPh>
    <rPh sb="17" eb="19">
      <t>サンコウ</t>
    </rPh>
    <rPh sb="20" eb="22">
      <t>ケイサン</t>
    </rPh>
    <rPh sb="34" eb="36">
      <t>サンショウ</t>
    </rPh>
    <phoneticPr fontId="1"/>
  </si>
  <si>
    <t>保険税の算定対象額
（総所得金額等 －
基礎控除）
※会社都合の失業反映後</t>
    <rPh sb="0" eb="2">
      <t>ホケン</t>
    </rPh>
    <rPh sb="2" eb="3">
      <t>ゼイ</t>
    </rPh>
    <rPh sb="4" eb="6">
      <t>サンテイ</t>
    </rPh>
    <rPh sb="6" eb="8">
      <t>タイショウ</t>
    </rPh>
    <rPh sb="8" eb="9">
      <t>ガク</t>
    </rPh>
    <rPh sb="11" eb="14">
      <t>ソウショトク</t>
    </rPh>
    <rPh sb="14" eb="16">
      <t>キンガク</t>
    </rPh>
    <rPh sb="16" eb="17">
      <t>トウ</t>
    </rPh>
    <rPh sb="20" eb="22">
      <t>キソ</t>
    </rPh>
    <rPh sb="22" eb="24">
      <t>コウジョ</t>
    </rPh>
    <rPh sb="27" eb="29">
      <t>カイシャ</t>
    </rPh>
    <rPh sb="29" eb="31">
      <t>ツゴウ</t>
    </rPh>
    <rPh sb="32" eb="34">
      <t>シツギョウ</t>
    </rPh>
    <rPh sb="34" eb="36">
      <t>ハンエイ</t>
    </rPh>
    <rPh sb="36" eb="37">
      <t>ゴ</t>
    </rPh>
    <phoneticPr fontId="1"/>
  </si>
  <si>
    <r>
      <rPr>
        <vertAlign val="superscript"/>
        <sz val="14"/>
        <rFont val="HG丸ｺﾞｼｯｸM-PRO"/>
        <family val="3"/>
        <charset val="128"/>
      </rPr>
      <t>*5</t>
    </r>
    <r>
      <rPr>
        <sz val="12"/>
        <rFont val="HG丸ｺﾞｼｯｸM-PRO"/>
        <family val="3"/>
        <charset val="128"/>
      </rPr>
      <t xml:space="preserve"> 64歳以下の方が会社都合で失業した場合、その方の給与所得を30/100にして保険税を算出します。該当する場合は○を選択 して</t>
    </r>
    <rPh sb="5" eb="6">
      <t>サイ</t>
    </rPh>
    <rPh sb="6" eb="8">
      <t>イカ</t>
    </rPh>
    <rPh sb="9" eb="10">
      <t>カタ</t>
    </rPh>
    <rPh sb="25" eb="26">
      <t>カタ</t>
    </rPh>
    <rPh sb="27" eb="29">
      <t>キュウヨ</t>
    </rPh>
    <rPh sb="41" eb="43">
      <t>ホケン</t>
    </rPh>
    <rPh sb="43" eb="44">
      <t>ゼイ</t>
    </rPh>
    <rPh sb="45" eb="47">
      <t>サンシュツ</t>
    </rPh>
    <phoneticPr fontId="1"/>
  </si>
  <si>
    <r>
      <rPr>
        <sz val="14"/>
        <color theme="1"/>
        <rFont val="HG丸ｺﾞｼｯｸM-PRO"/>
        <family val="3"/>
        <charset val="128"/>
      </rPr>
      <t>所得割</t>
    </r>
    <r>
      <rPr>
        <sz val="12"/>
        <color theme="1"/>
        <rFont val="HG丸ｺﾞｼｯｸM-PRO"/>
        <family val="3"/>
        <charset val="128"/>
      </rPr>
      <t xml:space="preserve">
（算定基礎額×税率）</t>
    </r>
    <rPh sb="0" eb="2">
      <t>ショトク</t>
    </rPh>
    <rPh sb="2" eb="3">
      <t>ワリ</t>
    </rPh>
    <rPh sb="5" eb="7">
      <t>サンテイ</t>
    </rPh>
    <rPh sb="7" eb="9">
      <t>キソ</t>
    </rPh>
    <rPh sb="9" eb="10">
      <t>ガク</t>
    </rPh>
    <rPh sb="11" eb="13">
      <t>ゼイリツ</t>
    </rPh>
    <phoneticPr fontId="1"/>
  </si>
  <si>
    <t>国保加入手続きをされた日付により、1回の納期限（１枚の納付書）で支払う税額は変動します。</t>
    <rPh sb="18" eb="19">
      <t>カイ</t>
    </rPh>
    <rPh sb="20" eb="23">
      <t>ノウキゲン</t>
    </rPh>
    <rPh sb="25" eb="26">
      <t>マイ</t>
    </rPh>
    <rPh sb="27" eb="30">
      <t>ノウフショ</t>
    </rPh>
    <rPh sb="32" eb="34">
      <t>シハラ</t>
    </rPh>
    <rPh sb="35" eb="37">
      <t>ゼイガク</t>
    </rPh>
    <rPh sb="38" eb="40">
      <t>ヘンドウ</t>
    </rPh>
    <phoneticPr fontId="1"/>
  </si>
  <si>
    <t>　</t>
  </si>
  <si>
    <r>
      <t>※注意⑤　</t>
    </r>
    <r>
      <rPr>
        <b/>
        <u/>
        <sz val="14"/>
        <color rgb="FFFF0000"/>
        <rFont val="HG丸ｺﾞｼｯｸM-PRO"/>
        <family val="3"/>
        <charset val="128"/>
      </rPr>
      <t>ひと月あたりの保険税額＝納付書1枚あたりの支払額ではありません。</t>
    </r>
    <rPh sb="1" eb="3">
      <t>チュウイ</t>
    </rPh>
    <rPh sb="7" eb="8">
      <t>ツキ</t>
    </rPh>
    <rPh sb="12" eb="14">
      <t>ホケン</t>
    </rPh>
    <rPh sb="14" eb="16">
      <t>ゼイガク</t>
    </rPh>
    <rPh sb="17" eb="19">
      <t>ノウフ</t>
    </rPh>
    <rPh sb="19" eb="20">
      <t>ショ</t>
    </rPh>
    <rPh sb="21" eb="22">
      <t>マイ</t>
    </rPh>
    <rPh sb="26" eb="28">
      <t>シハライ</t>
    </rPh>
    <rPh sb="28" eb="29">
      <t>ガク</t>
    </rPh>
    <phoneticPr fontId="1"/>
  </si>
  <si>
    <r>
      <t>均等割額減額</t>
    </r>
    <r>
      <rPr>
        <sz val="11"/>
        <color rgb="FFFF0000"/>
        <rFont val="HG丸ｺﾞｼｯｸM-PRO"/>
        <family val="3"/>
        <charset val="128"/>
      </rPr>
      <t>後</t>
    </r>
    <r>
      <rPr>
        <sz val="11"/>
        <color theme="1"/>
        <rFont val="HG丸ｺﾞｼｯｸM-PRO"/>
        <family val="3"/>
        <charset val="128"/>
      </rPr>
      <t>早見表</t>
    </r>
    <rPh sb="0" eb="2">
      <t>キントウ</t>
    </rPh>
    <rPh sb="2" eb="3">
      <t>ワリ</t>
    </rPh>
    <rPh sb="3" eb="4">
      <t>ガク</t>
    </rPh>
    <rPh sb="4" eb="6">
      <t>ゲンガク</t>
    </rPh>
    <rPh sb="6" eb="7">
      <t>ゴ</t>
    </rPh>
    <rPh sb="7" eb="10">
      <t>ハヤミヒョウ</t>
    </rPh>
    <phoneticPr fontId="1"/>
  </si>
  <si>
    <t>（例）夫はずっと国保だったが、６月１日から妻が国保に加入する場合</t>
    <rPh sb="1" eb="2">
      <t>レイ</t>
    </rPh>
    <rPh sb="3" eb="4">
      <t>オット</t>
    </rPh>
    <rPh sb="8" eb="10">
      <t>コクホ</t>
    </rPh>
    <rPh sb="16" eb="17">
      <t>ガツ</t>
    </rPh>
    <rPh sb="18" eb="19">
      <t>ニチ</t>
    </rPh>
    <rPh sb="21" eb="22">
      <t>ツマ</t>
    </rPh>
    <rPh sb="23" eb="25">
      <t>コクホ</t>
    </rPh>
    <rPh sb="26" eb="28">
      <t>カニュウ</t>
    </rPh>
    <rPh sb="30" eb="32">
      <t>バアイ</t>
    </rPh>
    <phoneticPr fontId="1"/>
  </si>
  <si>
    <t>はい</t>
  </si>
  <si>
    <r>
      <t>・令和５年（２０２３</t>
    </r>
    <r>
      <rPr>
        <sz val="16"/>
        <color rgb="FFFF0000"/>
        <rFont val="HG丸ｺﾞｼｯｸM-PRO"/>
        <family val="3"/>
        <charset val="128"/>
      </rPr>
      <t>年</t>
    </r>
    <r>
      <rPr>
        <sz val="16"/>
        <color theme="1"/>
        <rFont val="HG丸ｺﾞｼｯｸM-PRO"/>
        <family val="3"/>
        <charset val="128"/>
      </rPr>
      <t>）分の源泉徴収票または確定申告書を用意してください。　　　　　　　　　　　　　　　　　　　　　　　　　　　　　　　　　　　　　　　　　　　　　　　　　　　　　　　　　　　　　　　　　　　　　　　　　　　　　　　　　
・このシートでは202３年１月～12月の所得をもとに202４年４月～202５年３月の保険税を試算することができます。
・</t>
    </r>
    <r>
      <rPr>
        <sz val="16"/>
        <rFont val="HG丸ｺﾞｼｯｸM-PRO"/>
        <family val="3"/>
        <charset val="128"/>
      </rPr>
      <t>緑色のセルに入力すると、黄色のセルに試算結果が出ます。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4" eb="5">
      <t>ネン</t>
    </rPh>
    <rPh sb="10" eb="11">
      <t>ネン</t>
    </rPh>
    <rPh sb="12" eb="13">
      <t>ブン</t>
    </rPh>
    <rPh sb="14" eb="16">
      <t>ゲンセン</t>
    </rPh>
    <rPh sb="16" eb="19">
      <t>チョウシュウヒョウ</t>
    </rPh>
    <rPh sb="24" eb="26">
      <t>シンコク</t>
    </rPh>
    <rPh sb="26" eb="27">
      <t>ショ</t>
    </rPh>
    <rPh sb="28" eb="30">
      <t>ヨウイ</t>
    </rPh>
    <rPh sb="157" eb="158">
      <t>ネン</t>
    </rPh>
    <rPh sb="163" eb="164">
      <t>ゼイ</t>
    </rPh>
    <rPh sb="165" eb="167">
      <t>シサン</t>
    </rPh>
    <rPh sb="179" eb="181">
      <t>ミドリイロ</t>
    </rPh>
    <rPh sb="185" eb="187">
      <t>ニュウリョク</t>
    </rPh>
    <rPh sb="191" eb="193">
      <t>キイロ</t>
    </rPh>
    <rPh sb="197" eb="199">
      <t>シサン</t>
    </rPh>
    <rPh sb="199" eb="201">
      <t>ケッカ</t>
    </rPh>
    <rPh sb="202" eb="203">
      <t>デ</t>
    </rPh>
    <rPh sb="218" eb="220">
      <t>シサン</t>
    </rPh>
    <rPh sb="223" eb="225">
      <t>ジッサイ</t>
    </rPh>
    <rPh sb="226" eb="228">
      <t>ゼイガク</t>
    </rPh>
    <rPh sb="229" eb="230">
      <t>コト</t>
    </rPh>
    <rPh sb="240" eb="243">
      <t>チュウイテン</t>
    </rPh>
    <rPh sb="243" eb="244">
      <t>トウ</t>
    </rPh>
    <rPh sb="249" eb="251">
      <t>リョウショウ</t>
    </rPh>
    <rPh sb="252" eb="253">
      <t>ウエ</t>
    </rPh>
    <rPh sb="253" eb="255">
      <t>リヨウ</t>
    </rPh>
    <phoneticPr fontId="1"/>
  </si>
  <si>
    <r>
      <t>・令和５年（</t>
    </r>
    <r>
      <rPr>
        <sz val="16"/>
        <color rgb="FFFF0000"/>
        <rFont val="HG丸ｺﾞｼｯｸM-PRO"/>
        <family val="3"/>
        <charset val="128"/>
      </rPr>
      <t>202３年</t>
    </r>
    <r>
      <rPr>
        <sz val="16"/>
        <color theme="1"/>
        <rFont val="HG丸ｺﾞｼｯｸM-PRO"/>
        <family val="3"/>
        <charset val="128"/>
      </rPr>
      <t>）分の源泉徴収票または確定申告書を用意してください。　　　　　　　　　　　　　　　　　　　　　　　　　　　　　　　　　　　　　　　　　　　　　　　　　　　　　　　　　　　　　　　　　　　　　　　　　　　　　　　　　
・このシートでは202３年１月～12月の所得をもとに202４年４月～202４年３月の保険税を試算することができます。
・</t>
    </r>
    <r>
      <rPr>
        <sz val="16"/>
        <rFont val="HG丸ｺﾞｼｯｸM-PRO"/>
        <family val="3"/>
        <charset val="128"/>
      </rPr>
      <t>緑色のセルに入力すると、黄色のセルに試算結果が出ます。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4" eb="5">
      <t>ネン</t>
    </rPh>
    <rPh sb="10" eb="11">
      <t>ネン</t>
    </rPh>
    <rPh sb="12" eb="13">
      <t>ブン</t>
    </rPh>
    <rPh sb="14" eb="16">
      <t>ゲンセン</t>
    </rPh>
    <rPh sb="16" eb="19">
      <t>チョウシュウヒョウ</t>
    </rPh>
    <rPh sb="24" eb="26">
      <t>シンコク</t>
    </rPh>
    <rPh sb="26" eb="27">
      <t>ショ</t>
    </rPh>
    <rPh sb="28" eb="30">
      <t>ヨウイ</t>
    </rPh>
    <rPh sb="157" eb="158">
      <t>ネン</t>
    </rPh>
    <rPh sb="163" eb="164">
      <t>ゼイ</t>
    </rPh>
    <rPh sb="165" eb="167">
      <t>シサン</t>
    </rPh>
    <rPh sb="179" eb="181">
      <t>ミドリイロ</t>
    </rPh>
    <rPh sb="185" eb="187">
      <t>ニュウリョク</t>
    </rPh>
    <rPh sb="191" eb="193">
      <t>キイロ</t>
    </rPh>
    <rPh sb="197" eb="199">
      <t>シサン</t>
    </rPh>
    <rPh sb="199" eb="201">
      <t>ケッカ</t>
    </rPh>
    <rPh sb="202" eb="203">
      <t>デ</t>
    </rPh>
    <rPh sb="218" eb="220">
      <t>シサン</t>
    </rPh>
    <rPh sb="223" eb="225">
      <t>ジッサイ</t>
    </rPh>
    <rPh sb="226" eb="228">
      <t>ゼイガク</t>
    </rPh>
    <rPh sb="229" eb="230">
      <t>コト</t>
    </rPh>
    <rPh sb="240" eb="243">
      <t>チュウイテン</t>
    </rPh>
    <rPh sb="243" eb="244">
      <t>トウ</t>
    </rPh>
    <rPh sb="249" eb="251">
      <t>リョウショウ</t>
    </rPh>
    <rPh sb="252" eb="253">
      <t>ウエ</t>
    </rPh>
    <rPh sb="253" eb="255">
      <t>リヨウ</t>
    </rPh>
    <phoneticPr fontId="1"/>
  </si>
  <si>
    <r>
      <t xml:space="preserve">令和 </t>
    </r>
    <r>
      <rPr>
        <b/>
        <sz val="26"/>
        <color rgb="FFFF0000"/>
        <rFont val="HG丸ｺﾞｼｯｸM-PRO"/>
        <family val="3"/>
        <charset val="128"/>
      </rPr>
      <t xml:space="preserve">7 </t>
    </r>
    <r>
      <rPr>
        <b/>
        <sz val="26"/>
        <color theme="1"/>
        <rFont val="HG丸ｺﾞｼｯｸM-PRO"/>
        <family val="3"/>
        <charset val="128"/>
      </rPr>
      <t>年度　鳥栖市国民健康保険税の試算シート</t>
    </r>
    <rPh sb="0" eb="2">
      <t>レイワ</t>
    </rPh>
    <rPh sb="5" eb="7">
      <t>ネンド</t>
    </rPh>
    <rPh sb="8" eb="11">
      <t>トスシ</t>
    </rPh>
    <rPh sb="11" eb="13">
      <t>コクミン</t>
    </rPh>
    <rPh sb="13" eb="15">
      <t>ケンコウ</t>
    </rPh>
    <rPh sb="15" eb="17">
      <t>ホケン</t>
    </rPh>
    <rPh sb="17" eb="18">
      <t>ゼイ</t>
    </rPh>
    <rPh sb="19" eb="21">
      <t>シサン</t>
    </rPh>
    <phoneticPr fontId="1"/>
  </si>
  <si>
    <r>
      <t xml:space="preserve">・令和 </t>
    </r>
    <r>
      <rPr>
        <sz val="16"/>
        <color rgb="FFFF0000"/>
        <rFont val="HG丸ｺﾞｼｯｸM-PRO"/>
        <family val="3"/>
        <charset val="128"/>
      </rPr>
      <t>6</t>
    </r>
    <r>
      <rPr>
        <sz val="16"/>
        <color theme="1"/>
        <rFont val="HG丸ｺﾞｼｯｸM-PRO"/>
        <family val="3"/>
        <charset val="128"/>
      </rPr>
      <t xml:space="preserve"> 年（</t>
    </r>
    <r>
      <rPr>
        <sz val="16"/>
        <color rgb="FFFF0000"/>
        <rFont val="HG丸ｺﾞｼｯｸM-PRO"/>
        <family val="3"/>
        <charset val="128"/>
      </rPr>
      <t>2024年</t>
    </r>
    <r>
      <rPr>
        <sz val="16"/>
        <color theme="1"/>
        <rFont val="HG丸ｺﾞｼｯｸM-PRO"/>
        <family val="3"/>
        <charset val="128"/>
      </rPr>
      <t>）分の源泉徴収票または確定申告書を用意してください。　　　　　　　　　　　　　　　　　　　　　　　　　　　　　　　　　　　　　　　　　　　　　　　　　　　　　　　　　　　　　　　　　　　　　　　　　　　　　　　　　
・このシートでは</t>
    </r>
    <r>
      <rPr>
        <sz val="16"/>
        <color rgb="FFFF0000"/>
        <rFont val="HG丸ｺﾞｼｯｸM-PRO"/>
        <family val="3"/>
        <charset val="128"/>
      </rPr>
      <t>2024</t>
    </r>
    <r>
      <rPr>
        <sz val="16"/>
        <color theme="1"/>
        <rFont val="HG丸ｺﾞｼｯｸM-PRO"/>
        <family val="3"/>
        <charset val="128"/>
      </rPr>
      <t>年１月～12月の所得をもとに</t>
    </r>
    <r>
      <rPr>
        <sz val="16"/>
        <color rgb="FFFF0000"/>
        <rFont val="HG丸ｺﾞｼｯｸM-PRO"/>
        <family val="3"/>
        <charset val="128"/>
      </rPr>
      <t>2025</t>
    </r>
    <r>
      <rPr>
        <sz val="16"/>
        <color theme="1"/>
        <rFont val="HG丸ｺﾞｼｯｸM-PRO"/>
        <family val="3"/>
        <charset val="128"/>
      </rPr>
      <t>年４月～</t>
    </r>
    <r>
      <rPr>
        <sz val="16"/>
        <color rgb="FFFF0000"/>
        <rFont val="HG丸ｺﾞｼｯｸM-PRO"/>
        <family val="3"/>
        <charset val="128"/>
      </rPr>
      <t>2026</t>
    </r>
    <r>
      <rPr>
        <sz val="16"/>
        <color theme="1"/>
        <rFont val="HG丸ｺﾞｼｯｸM-PRO"/>
        <family val="3"/>
        <charset val="128"/>
      </rPr>
      <t>年３月の保険税を試算することができます。
・</t>
    </r>
    <r>
      <rPr>
        <b/>
        <sz val="16"/>
        <rFont val="HG丸ｺﾞｼｯｸM-PRO"/>
        <family val="3"/>
        <charset val="128"/>
      </rPr>
      <t>緑色のセルに入力</t>
    </r>
    <r>
      <rPr>
        <sz val="16"/>
        <rFont val="HG丸ｺﾞｼｯｸM-PRO"/>
        <family val="3"/>
        <charset val="128"/>
      </rPr>
      <t>すると、</t>
    </r>
    <r>
      <rPr>
        <b/>
        <sz val="16"/>
        <rFont val="HG丸ｺﾞｼｯｸM-PRO"/>
        <family val="3"/>
        <charset val="128"/>
      </rPr>
      <t>黄色のセルに試算結果が出ます。</t>
    </r>
    <r>
      <rPr>
        <sz val="16"/>
        <color theme="1"/>
        <rFont val="HG丸ｺﾞｼｯｸM-PRO"/>
        <family val="3"/>
        <charset val="128"/>
      </rPr>
      <t xml:space="preserve">
・このシートはあくまで試算であり実際の税額と異なることがあります。注意点等についてご了承の上利用ください。</t>
    </r>
    <rPh sb="1" eb="3">
      <t>レイワ</t>
    </rPh>
    <rPh sb="6" eb="7">
      <t>ネン</t>
    </rPh>
    <rPh sb="12" eb="13">
      <t>ネン</t>
    </rPh>
    <rPh sb="14" eb="15">
      <t>ブン</t>
    </rPh>
    <rPh sb="16" eb="18">
      <t>ゲンセン</t>
    </rPh>
    <rPh sb="18" eb="21">
      <t>チョウシュウヒョウ</t>
    </rPh>
    <rPh sb="26" eb="28">
      <t>シンコク</t>
    </rPh>
    <rPh sb="28" eb="29">
      <t>ショ</t>
    </rPh>
    <rPh sb="30" eb="32">
      <t>ヨウイ</t>
    </rPh>
    <rPh sb="159" eb="160">
      <t>ネン</t>
    </rPh>
    <rPh sb="165" eb="166">
      <t>ゼイ</t>
    </rPh>
    <rPh sb="167" eb="169">
      <t>シサン</t>
    </rPh>
    <rPh sb="181" eb="183">
      <t>ミドリイロ</t>
    </rPh>
    <rPh sb="187" eb="189">
      <t>ニュウリョク</t>
    </rPh>
    <rPh sb="193" eb="195">
      <t>キイロ</t>
    </rPh>
    <rPh sb="199" eb="201">
      <t>シサン</t>
    </rPh>
    <rPh sb="201" eb="203">
      <t>ケッカ</t>
    </rPh>
    <rPh sb="204" eb="205">
      <t>デ</t>
    </rPh>
    <rPh sb="220" eb="222">
      <t>シサン</t>
    </rPh>
    <rPh sb="225" eb="227">
      <t>ジッサイ</t>
    </rPh>
    <rPh sb="228" eb="230">
      <t>ゼイガク</t>
    </rPh>
    <rPh sb="231" eb="232">
      <t>コト</t>
    </rPh>
    <rPh sb="242" eb="245">
      <t>チュウイテン</t>
    </rPh>
    <rPh sb="245" eb="246">
      <t>トウ</t>
    </rPh>
    <rPh sb="251" eb="253">
      <t>リョウショウ</t>
    </rPh>
    <rPh sb="254" eb="255">
      <t>ウエ</t>
    </rPh>
    <rPh sb="255" eb="257">
      <t>リヨウ</t>
    </rPh>
    <phoneticPr fontId="1"/>
  </si>
  <si>
    <t>医療分
税率：9.76%</t>
    <rPh sb="0" eb="2">
      <t>イリョウ</t>
    </rPh>
    <rPh sb="2" eb="3">
      <t>ブン</t>
    </rPh>
    <rPh sb="4" eb="6">
      <t>ゼイリツ</t>
    </rPh>
    <phoneticPr fontId="1"/>
  </si>
  <si>
    <t>支援金分
税率：2.86%</t>
    <rPh sb="0" eb="3">
      <t>シエンキン</t>
    </rPh>
    <rPh sb="3" eb="4">
      <t>ブン</t>
    </rPh>
    <rPh sb="5" eb="7">
      <t>ゼイリツ</t>
    </rPh>
    <phoneticPr fontId="1"/>
  </si>
  <si>
    <t>介護分（40～64才対象）
税率：2.33%</t>
    <rPh sb="0" eb="2">
      <t>カイゴ</t>
    </rPh>
    <rPh sb="2" eb="3">
      <t>ブン</t>
    </rPh>
    <rPh sb="9" eb="10">
      <t>サイ</t>
    </rPh>
    <rPh sb="10" eb="12">
      <t>タイショウ</t>
    </rPh>
    <rPh sb="14" eb="16">
      <t>ゼイリツ</t>
    </rPh>
    <phoneticPr fontId="1"/>
  </si>
  <si>
    <t>医療分
料率：9.76%</t>
    <rPh sb="0" eb="2">
      <t>イリョウ</t>
    </rPh>
    <rPh sb="2" eb="3">
      <t>ブン</t>
    </rPh>
    <rPh sb="4" eb="6">
      <t>リョウリツ</t>
    </rPh>
    <phoneticPr fontId="1"/>
  </si>
  <si>
    <t>支援金分
料率：2.86%</t>
    <rPh sb="0" eb="3">
      <t>シエンキン</t>
    </rPh>
    <rPh sb="3" eb="4">
      <t>ブン</t>
    </rPh>
    <rPh sb="5" eb="7">
      <t>リョウリツ</t>
    </rPh>
    <phoneticPr fontId="1"/>
  </si>
  <si>
    <t>介護分（40～64才対象）
料率：2.33%</t>
    <rPh sb="0" eb="2">
      <t>カイゴ</t>
    </rPh>
    <rPh sb="2" eb="3">
      <t>ブン</t>
    </rPh>
    <rPh sb="9" eb="10">
      <t>サイ</t>
    </rPh>
    <rPh sb="10" eb="12">
      <t>タイショウ</t>
    </rPh>
    <rPh sb="14" eb="16">
      <t>リョウリツ</t>
    </rPh>
    <phoneticPr fontId="1"/>
  </si>
  <si>
    <r>
      <rPr>
        <b/>
        <sz val="12"/>
        <color rgb="FFFF0000"/>
        <rFont val="HG丸ｺﾞｼｯｸM-PRO"/>
        <family val="3"/>
        <charset val="128"/>
      </rPr>
      <t>※注意③</t>
    </r>
    <r>
      <rPr>
        <b/>
        <sz val="12"/>
        <color theme="1"/>
        <rFont val="HG丸ｺﾞｼｯｸM-PRO"/>
        <family val="3"/>
        <charset val="128"/>
      </rPr>
      <t>　ひと月あたりの保険税額は2025年４月～翌年３月の保険税を加入月数で割ったものです。翌年４月以降の保険税は</t>
    </r>
    <rPh sb="1" eb="3">
      <t>チュウイ</t>
    </rPh>
    <rPh sb="7" eb="8">
      <t>ツキ</t>
    </rPh>
    <rPh sb="12" eb="14">
      <t>ホケン</t>
    </rPh>
    <rPh sb="14" eb="16">
      <t>ゼイガク</t>
    </rPh>
    <rPh sb="16" eb="17">
      <t>ホゼイ</t>
    </rPh>
    <rPh sb="32" eb="33">
      <t>ゼイ</t>
    </rPh>
    <rPh sb="34" eb="36">
      <t>カニュウ</t>
    </rPh>
    <rPh sb="36" eb="38">
      <t>ツキスウ</t>
    </rPh>
    <rPh sb="39" eb="40">
      <t>ワ</t>
    </rPh>
    <rPh sb="47" eb="49">
      <t>ヨクネン</t>
    </rPh>
    <rPh sb="50" eb="51">
      <t>ガツ</t>
    </rPh>
    <rPh sb="51" eb="53">
      <t>イコウ</t>
    </rPh>
    <rPh sb="54" eb="56">
      <t>ホケン</t>
    </rPh>
    <rPh sb="56" eb="57">
      <t>ゼイ</t>
    </rPh>
    <phoneticPr fontId="1"/>
  </si>
  <si>
    <t>2025年１月～12月（2025年分）の所得をもとに計算されるため、上記保険税とは別になります。</t>
    <rPh sb="16" eb="18">
      <t>ネンブン</t>
    </rPh>
    <rPh sb="34" eb="36">
      <t>ジョウキ</t>
    </rPh>
    <rPh sb="36" eb="38">
      <t>ホケン</t>
    </rPh>
    <rPh sb="38" eb="39">
      <t>ゼイ</t>
    </rPh>
    <rPh sb="41" eb="42">
      <t>ベツ</t>
    </rPh>
    <phoneticPr fontId="1"/>
  </si>
  <si>
    <r>
      <rPr>
        <b/>
        <sz val="12"/>
        <color rgb="FFFF0000"/>
        <rFont val="HG丸ｺﾞｼｯｸM-PRO"/>
        <family val="3"/>
        <charset val="128"/>
      </rPr>
      <t>※注意②</t>
    </r>
    <r>
      <rPr>
        <b/>
        <sz val="12"/>
        <color theme="1"/>
        <rFont val="HG丸ｺﾞｼｯｸM-PRO"/>
        <family val="3"/>
        <charset val="128"/>
      </rPr>
      <t>　令和7年度中に40才、65才になられる方は年度の途中で税額が変わりますが、この試算シートでは反映されません。</t>
    </r>
    <rPh sb="5" eb="7">
      <t>レイワ</t>
    </rPh>
    <rPh sb="8" eb="10">
      <t>ネンド</t>
    </rPh>
    <rPh sb="10" eb="11">
      <t>チュウ</t>
    </rPh>
    <rPh sb="14" eb="15">
      <t>サイ</t>
    </rPh>
    <rPh sb="18" eb="19">
      <t>サイ</t>
    </rPh>
    <rPh sb="24" eb="25">
      <t>カタ</t>
    </rPh>
    <rPh sb="32" eb="34">
      <t>ゼイガク</t>
    </rPh>
    <rPh sb="34" eb="35">
      <t>ホゼイ</t>
    </rPh>
    <rPh sb="35" eb="36">
      <t>カ</t>
    </rPh>
    <rPh sb="44" eb="46">
      <t>シサン</t>
    </rPh>
    <rPh sb="51" eb="53">
      <t>ハンエイ</t>
    </rPh>
    <phoneticPr fontId="1"/>
  </si>
  <si>
    <r>
      <t>年金を受給している人は2024年（令和6年）1月1日時点で</t>
    </r>
    <r>
      <rPr>
        <u/>
        <sz val="20"/>
        <color rgb="FFFF0000"/>
        <rFont val="ＭＳ Ｐゴシック"/>
        <family val="3"/>
        <charset val="128"/>
        <scheme val="minor"/>
      </rPr>
      <t>65歳以上</t>
    </r>
    <r>
      <rPr>
        <sz val="20"/>
        <color theme="1"/>
        <rFont val="ＭＳ Ｐゴシック"/>
        <family val="2"/>
        <charset val="128"/>
        <scheme val="minor"/>
      </rPr>
      <t>ですか？</t>
    </r>
    <rPh sb="0" eb="2">
      <t>ネンキン</t>
    </rPh>
    <rPh sb="3" eb="5">
      <t>ジュキュウ</t>
    </rPh>
    <rPh sb="9" eb="10">
      <t>ヒト</t>
    </rPh>
    <rPh sb="15" eb="16">
      <t>ネン</t>
    </rPh>
    <rPh sb="17" eb="19">
      <t>レイワ</t>
    </rPh>
    <rPh sb="20" eb="21">
      <t>ネン</t>
    </rPh>
    <rPh sb="23" eb="24">
      <t>ガツ</t>
    </rPh>
    <rPh sb="25" eb="26">
      <t>ニチ</t>
    </rPh>
    <rPh sb="26" eb="28">
      <t>ジテン</t>
    </rPh>
    <rPh sb="31" eb="32">
      <t>サイ</t>
    </rPh>
    <rPh sb="32" eb="34">
      <t>イジョウ</t>
    </rPh>
    <phoneticPr fontId="1"/>
  </si>
  <si>
    <t>2025/1/1の年齢</t>
    <rPh sb="9" eb="11">
      <t>ネンレイ</t>
    </rPh>
    <phoneticPr fontId="1"/>
  </si>
  <si>
    <r>
      <rPr>
        <b/>
        <sz val="12"/>
        <color rgb="FFFF0000"/>
        <rFont val="HG丸ｺﾞｼｯｸM-PRO"/>
        <family val="3"/>
        <charset val="128"/>
      </rPr>
      <t>※注意③</t>
    </r>
    <r>
      <rPr>
        <b/>
        <sz val="12"/>
        <color theme="1"/>
        <rFont val="HG丸ｺﾞｼｯｸM-PRO"/>
        <family val="3"/>
        <charset val="128"/>
      </rPr>
      <t>　ひと月あたりの保険税額は2025月年４月～翌年３月の保険税を加入月数で割ったものです。翌年４月以降の保険税は</t>
    </r>
    <rPh sb="1" eb="3">
      <t>チュウイ</t>
    </rPh>
    <rPh sb="7" eb="8">
      <t>ツキ</t>
    </rPh>
    <rPh sb="12" eb="14">
      <t>ホケン</t>
    </rPh>
    <rPh sb="14" eb="16">
      <t>ゼイガク</t>
    </rPh>
    <rPh sb="16" eb="17">
      <t>ホゼイ</t>
    </rPh>
    <rPh sb="21" eb="22">
      <t>ガツ</t>
    </rPh>
    <rPh sb="33" eb="34">
      <t>ゼイ</t>
    </rPh>
    <rPh sb="35" eb="37">
      <t>カニュウ</t>
    </rPh>
    <rPh sb="37" eb="39">
      <t>ツキスウ</t>
    </rPh>
    <rPh sb="40" eb="41">
      <t>ワ</t>
    </rPh>
    <phoneticPr fontId="1"/>
  </si>
  <si>
    <t>2025年１月～12月（2025年分）の所得をもとに計算されるため、上記保険税とは別になります。</t>
    <phoneticPr fontId="1"/>
  </si>
  <si>
    <t>擬主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</si>
</sst>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quot;円&quot;"/>
    <numFmt numFmtId="177" formatCode="&quot;＝&quot;\ #,##0_ &quot;円&quot;"/>
    <numFmt numFmtId="178" formatCode="#,##0.0_ &quot;円&quot;"/>
    <numFmt numFmtId="179" formatCode="##\ &quot;人&quot;"/>
    <numFmt numFmtId="180" formatCode="#,##0&quot;円&quot;"/>
    <numFmt numFmtId="181" formatCode="#,###&quot;円&quot;"/>
    <numFmt numFmtId="182" formatCode="yyyy&quot;年&quot;m&quot;月&quot;;@"/>
    <numFmt numFmtId="183" formatCode="#,##0_);[Red]\(#,##0\)"/>
    <numFmt numFmtId="184" formatCode="#,##0_ "/>
    <numFmt numFmtId="185" formatCode="0_);[Red]\(0\)"/>
  </numFmts>
  <fonts count="5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HG丸ｺﾞｼｯｸM-PRO"/>
      <family val="3"/>
      <charset val="128"/>
    </font>
    <font>
      <sz val="11"/>
      <color theme="1"/>
      <name val="HG丸ｺﾞｼｯｸM-PRO"/>
      <family val="3"/>
      <charset val="128"/>
    </font>
    <font>
      <sz val="9"/>
      <color rgb="FFFF0000"/>
      <name val="HG丸ｺﾞｼｯｸM-PRO"/>
      <family val="3"/>
      <charset val="128"/>
    </font>
    <font>
      <u/>
      <sz val="11"/>
      <color theme="10"/>
      <name val="ＭＳ Ｐゴシック"/>
      <family val="2"/>
      <charset val="128"/>
      <scheme val="minor"/>
    </font>
    <font>
      <sz val="11"/>
      <color theme="10"/>
      <name val="ＭＳ Ｐゴシック"/>
      <family val="2"/>
      <charset val="128"/>
      <scheme val="minor"/>
    </font>
    <font>
      <sz val="12"/>
      <color theme="1"/>
      <name val="HG丸ｺﾞｼｯｸM-PRO"/>
      <family val="3"/>
      <charset val="128"/>
    </font>
    <font>
      <sz val="16"/>
      <color theme="1"/>
      <name val="HG丸ｺﾞｼｯｸM-PRO"/>
      <family val="3"/>
      <charset val="128"/>
    </font>
    <font>
      <b/>
      <sz val="20"/>
      <color theme="1"/>
      <name val="HG丸ｺﾞｼｯｸM-PRO"/>
      <family val="3"/>
      <charset val="128"/>
    </font>
    <font>
      <vertAlign val="superscript"/>
      <sz val="12"/>
      <color theme="1"/>
      <name val="HG丸ｺﾞｼｯｸM-PRO"/>
      <family val="3"/>
      <charset val="128"/>
    </font>
    <font>
      <vertAlign val="superscript"/>
      <sz val="14"/>
      <color theme="1"/>
      <name val="HG丸ｺﾞｼｯｸM-PRO"/>
      <family val="3"/>
      <charset val="128"/>
    </font>
    <font>
      <b/>
      <sz val="26"/>
      <color theme="1"/>
      <name val="HG丸ｺﾞｼｯｸM-PRO"/>
      <family val="3"/>
      <charset val="128"/>
    </font>
    <font>
      <b/>
      <sz val="12"/>
      <color theme="1"/>
      <name val="HG丸ｺﾞｼｯｸM-PRO"/>
      <family val="3"/>
      <charset val="128"/>
    </font>
    <font>
      <b/>
      <sz val="12"/>
      <color rgb="FFFF0000"/>
      <name val="HG丸ｺﾞｼｯｸM-PRO"/>
      <family val="3"/>
      <charset val="128"/>
    </font>
    <font>
      <sz val="20"/>
      <color theme="1"/>
      <name val="HG丸ｺﾞｼｯｸM-PRO"/>
      <family val="3"/>
      <charset val="128"/>
    </font>
    <font>
      <b/>
      <sz val="14"/>
      <color theme="1"/>
      <name val="HG丸ｺﾞｼｯｸM-PRO"/>
      <family val="3"/>
      <charset val="128"/>
    </font>
    <font>
      <sz val="14"/>
      <color theme="1"/>
      <name val="HG丸ｺﾞｼｯｸM-PRO"/>
      <family val="3"/>
      <charset val="128"/>
    </font>
    <font>
      <b/>
      <sz val="14"/>
      <color rgb="FFFF0000"/>
      <name val="HG丸ｺﾞｼｯｸM-PRO"/>
      <family val="3"/>
      <charset val="128"/>
    </font>
    <font>
      <sz val="16"/>
      <name val="HG丸ｺﾞｼｯｸM-PRO"/>
      <family val="3"/>
      <charset val="128"/>
    </font>
    <font>
      <sz val="11"/>
      <color rgb="FFFF0000"/>
      <name val="HG丸ｺﾞｼｯｸM-PRO"/>
      <family val="3"/>
      <charset val="128"/>
    </font>
    <font>
      <b/>
      <sz val="11"/>
      <color indexed="81"/>
      <name val="MS P ゴシック"/>
      <family val="3"/>
      <charset val="128"/>
    </font>
    <font>
      <b/>
      <sz val="12"/>
      <color indexed="81"/>
      <name val="MS P ゴシック"/>
      <family val="3"/>
      <charset val="128"/>
    </font>
    <font>
      <sz val="22"/>
      <color theme="1"/>
      <name val="HG丸ｺﾞｼｯｸM-PRO"/>
      <family val="3"/>
      <charset val="128"/>
    </font>
    <font>
      <sz val="11"/>
      <name val="HG丸ｺﾞｼｯｸM-PRO"/>
      <family val="3"/>
      <charset val="128"/>
    </font>
    <font>
      <sz val="18"/>
      <color theme="1"/>
      <name val="HG丸ｺﾞｼｯｸM-PRO"/>
      <family val="3"/>
      <charset val="128"/>
    </font>
    <font>
      <b/>
      <sz val="14"/>
      <color indexed="81"/>
      <name val="ＭＳ Ｐゴシック"/>
      <family val="3"/>
      <charset val="128"/>
    </font>
    <font>
      <b/>
      <sz val="26"/>
      <color rgb="FFFF0000"/>
      <name val="HG丸ｺﾞｼｯｸM-PRO"/>
      <family val="3"/>
      <charset val="128"/>
    </font>
    <font>
      <sz val="16"/>
      <color rgb="FFFF0000"/>
      <name val="HG丸ｺﾞｼｯｸM-PRO"/>
      <family val="3"/>
      <charset val="128"/>
    </font>
    <font>
      <sz val="9"/>
      <name val="HG丸ｺﾞｼｯｸM-PRO"/>
      <family val="3"/>
      <charset val="128"/>
    </font>
    <font>
      <sz val="12"/>
      <name val="HG丸ｺﾞｼｯｸM-PRO"/>
      <family val="3"/>
      <charset val="128"/>
    </font>
    <font>
      <vertAlign val="superscript"/>
      <sz val="14"/>
      <name val="HG丸ｺﾞｼｯｸM-PRO"/>
      <family val="3"/>
      <charset val="128"/>
    </font>
    <font>
      <b/>
      <sz val="11"/>
      <color rgb="FFFF0000"/>
      <name val="HG丸ｺﾞｼｯｸM-PRO"/>
      <family val="3"/>
      <charset val="128"/>
    </font>
    <font>
      <b/>
      <sz val="16"/>
      <color theme="1"/>
      <name val="HG丸ｺﾞｼｯｸM-PRO"/>
      <family val="3"/>
      <charset val="128"/>
    </font>
    <font>
      <sz val="18"/>
      <color theme="1"/>
      <name val="ＭＳ Ｐゴシック"/>
      <family val="2"/>
      <charset val="128"/>
      <scheme val="minor"/>
    </font>
    <font>
      <sz val="20"/>
      <color theme="1"/>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36"/>
      <color theme="1"/>
      <name val="ＭＳ Ｐゴシック"/>
      <family val="2"/>
      <charset val="128"/>
      <scheme val="minor"/>
    </font>
    <font>
      <sz val="20"/>
      <color theme="1"/>
      <name val="ＭＳ Ｐゴシック"/>
      <family val="3"/>
      <charset val="128"/>
      <scheme val="minor"/>
    </font>
    <font>
      <sz val="22"/>
      <color theme="1"/>
      <name val="ＭＳ Ｐゴシック"/>
      <family val="3"/>
      <charset val="128"/>
      <scheme val="minor"/>
    </font>
    <font>
      <sz val="26"/>
      <color theme="1"/>
      <name val="ＭＳ Ｐゴシック"/>
      <family val="3"/>
      <charset val="128"/>
      <scheme val="minor"/>
    </font>
    <font>
      <sz val="10"/>
      <color theme="1"/>
      <name val="HG丸ｺﾞｼｯｸM-PRO"/>
      <family val="3"/>
      <charset val="128"/>
    </font>
    <font>
      <sz val="36"/>
      <color theme="1"/>
      <name val="ＭＳ Ｐゴシック"/>
      <family val="3"/>
      <charset val="128"/>
      <scheme val="minor"/>
    </font>
    <font>
      <sz val="9"/>
      <color theme="1"/>
      <name val="ＭＳ Ｐゴシック"/>
      <family val="3"/>
      <charset val="128"/>
      <scheme val="minor"/>
    </font>
    <font>
      <u/>
      <sz val="20"/>
      <color rgb="FFFF0000"/>
      <name val="ＭＳ Ｐゴシック"/>
      <family val="3"/>
      <charset val="128"/>
      <scheme val="minor"/>
    </font>
    <font>
      <b/>
      <u/>
      <sz val="24"/>
      <color theme="1"/>
      <name val="ＭＳ Ｐゴシック"/>
      <family val="3"/>
      <charset val="128"/>
      <scheme val="minor"/>
    </font>
    <font>
      <b/>
      <sz val="16"/>
      <name val="HG丸ｺﾞｼｯｸM-PRO"/>
      <family val="3"/>
      <charset val="128"/>
    </font>
    <font>
      <b/>
      <u/>
      <sz val="14"/>
      <color rgb="FFFF0000"/>
      <name val="HG丸ｺﾞｼｯｸM-PRO"/>
      <family val="3"/>
      <charset val="128"/>
    </font>
    <font>
      <b/>
      <sz val="36"/>
      <color theme="1"/>
      <name val="HG丸ｺﾞｼｯｸM-PRO"/>
      <family val="3"/>
      <charset val="128"/>
    </font>
    <font>
      <sz val="28"/>
      <color theme="1"/>
      <name val="HG丸ｺﾞｼｯｸM-PRO"/>
      <family val="3"/>
      <charset val="128"/>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BDD7EE"/>
        <bgColor indexed="64"/>
      </patternFill>
    </fill>
    <fill>
      <patternFill patternType="solid">
        <fgColor rgb="FFF4B084"/>
        <bgColor indexed="64"/>
      </patternFill>
    </fill>
    <fill>
      <patternFill patternType="solid">
        <fgColor theme="9" tint="0.59999389629810485"/>
        <bgColor indexed="64"/>
      </patternFill>
    </fill>
    <fill>
      <patternFill patternType="solid">
        <fgColor theme="8"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bottom style="mediumDashed">
        <color indexed="64"/>
      </bottom>
      <diagonal/>
    </border>
    <border>
      <left style="mediumDashed">
        <color indexed="64"/>
      </left>
      <right/>
      <top/>
      <bottom style="mediumDashed">
        <color indexed="64"/>
      </bottom>
      <diagonal/>
    </border>
    <border>
      <left style="mediumDashed">
        <color indexed="64"/>
      </left>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right/>
      <top style="double">
        <color indexed="64"/>
      </top>
      <bottom style="thin">
        <color indexed="64"/>
      </bottom>
      <diagonal/>
    </border>
    <border>
      <left style="thick">
        <color indexed="64"/>
      </left>
      <right/>
      <top style="double">
        <color indexed="64"/>
      </top>
      <bottom style="thick">
        <color indexed="64"/>
      </bottom>
      <diagonal/>
    </border>
    <border>
      <left/>
      <right style="thick">
        <color indexed="64"/>
      </right>
      <top style="double">
        <color indexed="64"/>
      </top>
      <bottom style="thick">
        <color indexed="64"/>
      </bottom>
      <diagonal/>
    </border>
    <border>
      <left/>
      <right style="thick">
        <color indexed="64"/>
      </right>
      <top style="double">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right/>
      <top style="slantDashDot">
        <color auto="1"/>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49" fontId="4" fillId="0" borderId="6" applyFill="0">
      <alignment horizontal="center" vertical="center"/>
      <protection locked="0"/>
    </xf>
  </cellStyleXfs>
  <cellXfs count="35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0" xfId="3" applyFont="1" applyFill="1" applyBorder="1" applyAlignment="1" applyProtection="1">
      <alignment vertical="center"/>
    </xf>
    <xf numFmtId="0" fontId="4" fillId="0" borderId="1" xfId="0" applyFont="1" applyBorder="1">
      <alignment vertical="center"/>
    </xf>
    <xf numFmtId="0" fontId="4" fillId="0" borderId="1" xfId="0" applyFont="1" applyBorder="1" applyAlignment="1">
      <alignment vertical="center" shrinkToFit="1"/>
    </xf>
    <xf numFmtId="176" fontId="4" fillId="0" borderId="0" xfId="0" applyNumberFormat="1" applyFont="1">
      <alignment vertical="center"/>
    </xf>
    <xf numFmtId="176" fontId="4" fillId="0" borderId="1" xfId="0" applyNumberFormat="1" applyFont="1" applyBorder="1">
      <alignment vertical="center"/>
    </xf>
    <xf numFmtId="176" fontId="4" fillId="0" borderId="0" xfId="0" applyNumberFormat="1" applyFont="1" applyAlignment="1">
      <alignment vertical="center" shrinkToFit="1"/>
    </xf>
    <xf numFmtId="0" fontId="4" fillId="0" borderId="5" xfId="0" applyFont="1" applyBorder="1" applyAlignment="1">
      <alignment horizontal="center" vertical="center"/>
    </xf>
    <xf numFmtId="176" fontId="4" fillId="0" borderId="5" xfId="0" applyNumberFormat="1" applyFont="1" applyBorder="1">
      <alignment vertical="center"/>
    </xf>
    <xf numFmtId="0" fontId="8" fillId="0" borderId="0" xfId="0" applyFont="1">
      <alignment vertical="center"/>
    </xf>
    <xf numFmtId="0" fontId="4" fillId="0" borderId="0" xfId="0" applyFont="1" applyAlignment="1">
      <alignment vertical="center" shrinkToFit="1"/>
    </xf>
    <xf numFmtId="176" fontId="4" fillId="0" borderId="6" xfId="0" applyNumberFormat="1" applyFont="1" applyBorder="1">
      <alignment vertical="center"/>
    </xf>
    <xf numFmtId="176" fontId="4" fillId="0" borderId="0" xfId="0" applyNumberFormat="1" applyFont="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176" fontId="4" fillId="0" borderId="9" xfId="0" applyNumberFormat="1" applyFont="1" applyBorder="1">
      <alignment vertical="center"/>
    </xf>
    <xf numFmtId="176" fontId="4" fillId="0" borderId="2" xfId="0" applyNumberFormat="1" applyFont="1" applyBorder="1">
      <alignment vertical="center"/>
    </xf>
    <xf numFmtId="176" fontId="4" fillId="0" borderId="7" xfId="0" applyNumberFormat="1" applyFont="1" applyBorder="1">
      <alignment vertical="center"/>
    </xf>
    <xf numFmtId="176" fontId="4" fillId="0" borderId="46" xfId="0" applyNumberFormat="1" applyFont="1" applyBorder="1">
      <alignment vertical="center"/>
    </xf>
    <xf numFmtId="176" fontId="4" fillId="0" borderId="47" xfId="0" applyNumberFormat="1" applyFont="1" applyBorder="1">
      <alignment vertical="center"/>
    </xf>
    <xf numFmtId="176" fontId="4" fillId="0" borderId="8" xfId="0" applyNumberFormat="1" applyFont="1" applyBorder="1">
      <alignment vertical="center"/>
    </xf>
    <xf numFmtId="176" fontId="4" fillId="0" borderId="48" xfId="0" applyNumberFormat="1" applyFont="1" applyBorder="1">
      <alignment vertical="center"/>
    </xf>
    <xf numFmtId="0" fontId="4" fillId="0" borderId="5" xfId="0" applyFont="1" applyBorder="1">
      <alignment vertical="center"/>
    </xf>
    <xf numFmtId="0" fontId="4" fillId="3" borderId="5" xfId="0" applyFont="1" applyFill="1" applyBorder="1" applyAlignment="1">
      <alignment horizontal="center" vertical="center"/>
    </xf>
    <xf numFmtId="0" fontId="4" fillId="4" borderId="10" xfId="0" applyFont="1" applyFill="1" applyBorder="1" applyAlignment="1">
      <alignment horizontal="center" vertical="center"/>
    </xf>
    <xf numFmtId="0" fontId="4" fillId="6" borderId="49" xfId="0" applyFont="1" applyFill="1" applyBorder="1" applyAlignment="1">
      <alignment horizontal="center" vertical="center"/>
    </xf>
    <xf numFmtId="0" fontId="4" fillId="5" borderId="11" xfId="0" applyFont="1" applyFill="1" applyBorder="1" applyAlignment="1">
      <alignment horizontal="center" vertical="center"/>
    </xf>
    <xf numFmtId="0" fontId="4" fillId="0" borderId="6" xfId="0" applyFont="1" applyBorder="1">
      <alignment vertical="center"/>
    </xf>
    <xf numFmtId="176" fontId="21" fillId="0" borderId="1" xfId="0" applyNumberFormat="1" applyFont="1" applyBorder="1" applyAlignment="1">
      <alignment vertical="center" shrinkToFit="1"/>
    </xf>
    <xf numFmtId="176" fontId="21" fillId="0" borderId="1" xfId="0" quotePrefix="1" applyNumberFormat="1" applyFont="1" applyBorder="1" applyAlignment="1">
      <alignment horizontal="center" vertical="center" shrinkToFit="1"/>
    </xf>
    <xf numFmtId="176" fontId="4" fillId="0" borderId="12" xfId="0" applyNumberFormat="1"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shrinkToFit="1"/>
    </xf>
    <xf numFmtId="0" fontId="4" fillId="0" borderId="52" xfId="0" applyFont="1" applyBorder="1">
      <alignment vertical="center"/>
    </xf>
    <xf numFmtId="0" fontId="4" fillId="0" borderId="58" xfId="0" applyFont="1" applyBorder="1" applyAlignment="1">
      <alignment horizontal="center" vertical="center"/>
    </xf>
    <xf numFmtId="0" fontId="4" fillId="0" borderId="57" xfId="0" applyFont="1" applyBorder="1">
      <alignment vertical="center"/>
    </xf>
    <xf numFmtId="0" fontId="4" fillId="0" borderId="55" xfId="0" applyFont="1" applyBorder="1" applyAlignment="1">
      <alignment horizontal="center" vertical="center" shrinkToFit="1"/>
    </xf>
    <xf numFmtId="0" fontId="4" fillId="0" borderId="61" xfId="0" applyFont="1" applyBorder="1">
      <alignment vertical="center"/>
    </xf>
    <xf numFmtId="176" fontId="4" fillId="0" borderId="51" xfId="0" applyNumberFormat="1" applyFont="1" applyBorder="1">
      <alignment vertical="center"/>
    </xf>
    <xf numFmtId="0" fontId="21" fillId="0" borderId="0" xfId="0" applyFont="1">
      <alignment vertical="center"/>
    </xf>
    <xf numFmtId="0" fontId="4" fillId="2" borderId="8" xfId="0" applyFont="1" applyFill="1" applyBorder="1">
      <alignment vertical="center"/>
    </xf>
    <xf numFmtId="178" fontId="4" fillId="2" borderId="6" xfId="0" applyNumberFormat="1" applyFont="1" applyFill="1" applyBorder="1">
      <alignment vertical="center"/>
    </xf>
    <xf numFmtId="0" fontId="4" fillId="0" borderId="50" xfId="0" applyFont="1" applyBorder="1" applyAlignment="1">
      <alignment horizontal="center" vertical="center"/>
    </xf>
    <xf numFmtId="0" fontId="4" fillId="2" borderId="6" xfId="0" applyFont="1" applyFill="1" applyBorder="1">
      <alignment vertical="center"/>
    </xf>
    <xf numFmtId="176" fontId="4" fillId="2" borderId="8" xfId="0" applyNumberFormat="1" applyFont="1" applyFill="1" applyBorder="1">
      <alignment vertical="center"/>
    </xf>
    <xf numFmtId="0" fontId="4" fillId="2" borderId="9" xfId="0" applyFont="1" applyFill="1" applyBorder="1">
      <alignment vertical="center"/>
    </xf>
    <xf numFmtId="0" fontId="4" fillId="0" borderId="0" xfId="0" applyFont="1" applyAlignment="1">
      <alignment vertical="top"/>
    </xf>
    <xf numFmtId="179" fontId="14" fillId="0" borderId="9" xfId="0" applyNumberFormat="1" applyFont="1" applyBorder="1">
      <alignment vertical="center"/>
    </xf>
    <xf numFmtId="179" fontId="14" fillId="0" borderId="6" xfId="0" applyNumberFormat="1" applyFont="1" applyBorder="1">
      <alignment vertical="center"/>
    </xf>
    <xf numFmtId="178" fontId="4" fillId="0" borderId="51" xfId="0" applyNumberFormat="1" applyFont="1" applyBorder="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176" fontId="21" fillId="0" borderId="0" xfId="0" applyNumberFormat="1" applyFont="1" applyAlignment="1">
      <alignment horizontal="center" vertical="center"/>
    </xf>
    <xf numFmtId="176" fontId="5" fillId="0" borderId="0" xfId="0" applyNumberFormat="1" applyFont="1" applyAlignment="1">
      <alignment horizontal="left" vertical="center"/>
    </xf>
    <xf numFmtId="0" fontId="25" fillId="0" borderId="0" xfId="0" applyFont="1">
      <alignment vertical="center"/>
    </xf>
    <xf numFmtId="0" fontId="25" fillId="0" borderId="5" xfId="0" applyFont="1" applyBorder="1">
      <alignment vertical="center"/>
    </xf>
    <xf numFmtId="0" fontId="25" fillId="3" borderId="5" xfId="0" applyFont="1" applyFill="1" applyBorder="1" applyAlignment="1">
      <alignment horizontal="center" vertical="center"/>
    </xf>
    <xf numFmtId="0" fontId="25" fillId="4" borderId="10" xfId="0" applyFont="1" applyFill="1" applyBorder="1" applyAlignment="1">
      <alignment horizontal="center" vertical="center"/>
    </xf>
    <xf numFmtId="0" fontId="25" fillId="6" borderId="49" xfId="0" applyFont="1" applyFill="1" applyBorder="1" applyAlignment="1">
      <alignment horizontal="center" vertical="center"/>
    </xf>
    <xf numFmtId="0" fontId="25" fillId="5" borderId="11" xfId="0" applyFont="1" applyFill="1" applyBorder="1" applyAlignment="1">
      <alignment horizontal="center" vertical="center"/>
    </xf>
    <xf numFmtId="0" fontId="25" fillId="0" borderId="6" xfId="0" applyFont="1" applyBorder="1" applyAlignment="1">
      <alignment horizontal="center" vertical="center"/>
    </xf>
    <xf numFmtId="10" fontId="25" fillId="0" borderId="48" xfId="0" applyNumberFormat="1" applyFont="1" applyBorder="1">
      <alignment vertical="center"/>
    </xf>
    <xf numFmtId="0" fontId="25" fillId="0" borderId="1" xfId="0" applyFont="1" applyBorder="1" applyAlignment="1">
      <alignment horizontal="center" vertical="center"/>
    </xf>
    <xf numFmtId="176" fontId="25" fillId="0" borderId="46" xfId="0" applyNumberFormat="1" applyFont="1" applyBorder="1" applyAlignment="1">
      <alignment vertical="center" shrinkToFit="1"/>
    </xf>
    <xf numFmtId="0" fontId="25" fillId="0" borderId="5" xfId="0" applyFont="1" applyBorder="1" applyAlignment="1">
      <alignment horizontal="center" vertical="center"/>
    </xf>
    <xf numFmtId="176" fontId="25" fillId="0" borderId="47" xfId="0" applyNumberFormat="1" applyFont="1" applyBorder="1">
      <alignment vertical="center"/>
    </xf>
    <xf numFmtId="176" fontId="25" fillId="0" borderId="11" xfId="0" applyNumberFormat="1" applyFont="1" applyBorder="1">
      <alignment vertical="center"/>
    </xf>
    <xf numFmtId="0" fontId="21" fillId="0" borderId="1" xfId="0" applyFont="1" applyBorder="1" applyAlignment="1">
      <alignment horizontal="center" vertical="center"/>
    </xf>
    <xf numFmtId="0" fontId="21" fillId="0" borderId="0" xfId="0" applyFont="1" applyAlignment="1">
      <alignment vertical="top"/>
    </xf>
    <xf numFmtId="0" fontId="21" fillId="0" borderId="0" xfId="0" applyFont="1" applyAlignment="1">
      <alignment horizontal="center" vertical="center"/>
    </xf>
    <xf numFmtId="0" fontId="10" fillId="0" borderId="0" xfId="0" applyFont="1" applyAlignment="1">
      <alignment horizontal="center" vertical="center"/>
    </xf>
    <xf numFmtId="181" fontId="10" fillId="0" borderId="0" xfId="0" applyNumberFormat="1" applyFont="1" applyAlignment="1">
      <alignment horizontal="center" vertical="center"/>
    </xf>
    <xf numFmtId="181" fontId="10" fillId="0" borderId="87" xfId="0" applyNumberFormat="1" applyFont="1" applyBorder="1" applyAlignment="1">
      <alignment horizontal="center" vertical="center"/>
    </xf>
    <xf numFmtId="0" fontId="17" fillId="0" borderId="0" xfId="0" applyFont="1" applyAlignment="1">
      <alignment horizontal="right" vertical="center"/>
    </xf>
    <xf numFmtId="176" fontId="14" fillId="0" borderId="0" xfId="0" applyNumberFormat="1" applyFont="1" applyAlignment="1">
      <alignment horizontal="right" vertical="center"/>
    </xf>
    <xf numFmtId="178" fontId="14" fillId="0" borderId="0" xfId="0" applyNumberFormat="1" applyFont="1">
      <alignment vertical="center"/>
    </xf>
    <xf numFmtId="179" fontId="14" fillId="0" borderId="0" xfId="0" applyNumberFormat="1" applyFont="1">
      <alignment vertical="center"/>
    </xf>
    <xf numFmtId="179" fontId="15" fillId="0" borderId="0" xfId="0" applyNumberFormat="1" applyFont="1">
      <alignment vertical="center"/>
    </xf>
    <xf numFmtId="10" fontId="21" fillId="0" borderId="6" xfId="2" applyNumberFormat="1" applyFont="1" applyBorder="1" applyProtection="1">
      <alignment vertical="center"/>
    </xf>
    <xf numFmtId="10" fontId="21" fillId="0" borderId="8" xfId="2" applyNumberFormat="1" applyFont="1" applyBorder="1" applyProtection="1">
      <alignment vertical="center"/>
    </xf>
    <xf numFmtId="176" fontId="21" fillId="0" borderId="7" xfId="0" applyNumberFormat="1" applyFont="1" applyBorder="1" applyAlignment="1">
      <alignment vertical="center" shrinkToFit="1"/>
    </xf>
    <xf numFmtId="176" fontId="21" fillId="0" borderId="5" xfId="0" applyNumberFormat="1" applyFont="1" applyBorder="1">
      <alignment vertical="center"/>
    </xf>
    <xf numFmtId="176" fontId="21" fillId="0" borderId="10" xfId="0" applyNumberFormat="1" applyFont="1" applyBorder="1">
      <alignment vertical="center"/>
    </xf>
    <xf numFmtId="10" fontId="21" fillId="0" borderId="9" xfId="2" applyNumberFormat="1" applyFont="1" applyBorder="1" applyProtection="1">
      <alignment vertical="center"/>
    </xf>
    <xf numFmtId="176" fontId="21" fillId="0" borderId="2" xfId="0" applyNumberFormat="1" applyFont="1" applyBorder="1" applyAlignment="1">
      <alignment vertical="center" shrinkToFit="1"/>
    </xf>
    <xf numFmtId="0" fontId="18" fillId="0" borderId="0" xfId="0" applyFont="1" applyAlignment="1">
      <alignment horizontal="center" vertical="center"/>
    </xf>
    <xf numFmtId="180" fontId="21" fillId="0" borderId="0" xfId="0" applyNumberFormat="1" applyFont="1">
      <alignment vertical="center"/>
    </xf>
    <xf numFmtId="0" fontId="25" fillId="5" borderId="0" xfId="0" applyFont="1" applyFill="1" applyAlignment="1">
      <alignment horizontal="center" vertical="center"/>
    </xf>
    <xf numFmtId="10" fontId="21" fillId="0" borderId="0" xfId="2" applyNumberFormat="1" applyFont="1" applyBorder="1" applyProtection="1">
      <alignment vertical="center"/>
    </xf>
    <xf numFmtId="176" fontId="21" fillId="0" borderId="0" xfId="0" applyNumberFormat="1" applyFont="1" applyAlignment="1">
      <alignment vertical="center" shrinkToFit="1"/>
    </xf>
    <xf numFmtId="176" fontId="25" fillId="0" borderId="0" xfId="0" applyNumberFormat="1" applyFont="1">
      <alignment vertical="center"/>
    </xf>
    <xf numFmtId="0" fontId="25" fillId="0" borderId="0" xfId="0" applyFont="1" applyAlignment="1">
      <alignment horizontal="center" vertical="center"/>
    </xf>
    <xf numFmtId="0" fontId="0" fillId="0" borderId="1" xfId="0" applyBorder="1">
      <alignment vertical="center"/>
    </xf>
    <xf numFmtId="183" fontId="0" fillId="0" borderId="1" xfId="0" applyNumberFormat="1" applyBorder="1">
      <alignment vertical="center"/>
    </xf>
    <xf numFmtId="183" fontId="0" fillId="0" borderId="1" xfId="0" applyNumberFormat="1" applyBorder="1" applyAlignment="1">
      <alignment horizontal="center" vertical="center"/>
    </xf>
    <xf numFmtId="0" fontId="0" fillId="9" borderId="1" xfId="0" applyFill="1" applyBorder="1" applyAlignment="1">
      <alignment horizontal="right" vertical="center"/>
    </xf>
    <xf numFmtId="184" fontId="0" fillId="0" borderId="1" xfId="0" applyNumberFormat="1" applyBorder="1">
      <alignment vertical="center"/>
    </xf>
    <xf numFmtId="184" fontId="0" fillId="0" borderId="1" xfId="0" applyNumberFormat="1" applyBorder="1" applyAlignment="1">
      <alignment horizontal="center" vertical="center"/>
    </xf>
    <xf numFmtId="183" fontId="0" fillId="8" borderId="1" xfId="0" applyNumberFormat="1" applyFill="1" applyBorder="1">
      <alignment vertical="center"/>
    </xf>
    <xf numFmtId="183" fontId="0" fillId="9" borderId="1" xfId="0" applyNumberFormat="1" applyFill="1" applyBorder="1">
      <alignment vertical="center"/>
    </xf>
    <xf numFmtId="0" fontId="36" fillId="0" borderId="0" xfId="0" applyFont="1">
      <alignment vertical="center"/>
    </xf>
    <xf numFmtId="0" fontId="38" fillId="0" borderId="0" xfId="0" applyFont="1">
      <alignment vertical="center"/>
    </xf>
    <xf numFmtId="0" fontId="0" fillId="0" borderId="1" xfId="0" applyBorder="1" applyAlignment="1">
      <alignment vertical="center" shrinkToFit="1"/>
    </xf>
    <xf numFmtId="183" fontId="0" fillId="4" borderId="1" xfId="0" applyNumberFormat="1" applyFill="1" applyBorder="1">
      <alignment vertical="center"/>
    </xf>
    <xf numFmtId="0" fontId="0" fillId="4" borderId="1" xfId="0" applyFill="1" applyBorder="1" applyAlignment="1">
      <alignment horizontal="right" vertical="center" shrinkToFit="1"/>
    </xf>
    <xf numFmtId="31" fontId="0" fillId="0" borderId="1" xfId="0" applyNumberFormat="1" applyBorder="1" applyAlignment="1">
      <alignment horizontal="center" vertical="center"/>
    </xf>
    <xf numFmtId="184" fontId="0" fillId="4" borderId="1" xfId="0" applyNumberFormat="1" applyFill="1" applyBorder="1" applyAlignment="1">
      <alignment horizontal="center" vertical="center"/>
    </xf>
    <xf numFmtId="0" fontId="4" fillId="0" borderId="0" xfId="0" applyFont="1" applyAlignment="1">
      <alignment vertical="center" wrapText="1"/>
    </xf>
    <xf numFmtId="176" fontId="4" fillId="0" borderId="5" xfId="0" applyNumberFormat="1" applyFont="1" applyBorder="1" applyAlignment="1" applyProtection="1">
      <alignment vertical="center" shrinkToFit="1"/>
      <protection locked="0"/>
    </xf>
    <xf numFmtId="176" fontId="4" fillId="0" borderId="1" xfId="0" applyNumberFormat="1" applyFont="1" applyBorder="1" applyAlignment="1" applyProtection="1">
      <alignment vertical="center" shrinkToFit="1"/>
      <protection locked="0"/>
    </xf>
    <xf numFmtId="176" fontId="4" fillId="0" borderId="4"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protection locked="0"/>
    </xf>
    <xf numFmtId="176" fontId="4" fillId="0" borderId="8" xfId="0" applyNumberFormat="1" applyFont="1" applyBorder="1" applyAlignment="1">
      <alignment vertical="center" shrinkToFit="1"/>
    </xf>
    <xf numFmtId="0" fontId="0" fillId="2" borderId="0" xfId="0" applyFill="1">
      <alignment vertical="center"/>
    </xf>
    <xf numFmtId="38" fontId="21" fillId="3" borderId="1" xfId="1" applyFont="1" applyFill="1" applyBorder="1" applyAlignment="1" applyProtection="1">
      <alignment horizontal="right" vertical="center"/>
    </xf>
    <xf numFmtId="38" fontId="21" fillId="4" borderId="1" xfId="1" applyFont="1" applyFill="1" applyBorder="1" applyAlignment="1" applyProtection="1">
      <alignment horizontal="right" vertical="center"/>
    </xf>
    <xf numFmtId="38" fontId="21" fillId="6" borderId="1" xfId="1" applyFont="1" applyFill="1" applyBorder="1" applyAlignment="1" applyProtection="1">
      <alignment horizontal="right" vertical="center"/>
    </xf>
    <xf numFmtId="0" fontId="25" fillId="0" borderId="10" xfId="0" applyFont="1" applyBorder="1" applyAlignment="1">
      <alignment horizontal="center" vertical="center"/>
    </xf>
    <xf numFmtId="0" fontId="25" fillId="0" borderId="49" xfId="0" applyFont="1" applyBorder="1" applyAlignment="1">
      <alignment horizontal="center" vertical="center"/>
    </xf>
    <xf numFmtId="180" fontId="25" fillId="0" borderId="6" xfId="0" applyNumberFormat="1" applyFont="1" applyBorder="1">
      <alignment vertical="center"/>
    </xf>
    <xf numFmtId="180" fontId="25" fillId="0" borderId="8" xfId="0" applyNumberFormat="1" applyFont="1" applyBorder="1">
      <alignment vertical="center"/>
    </xf>
    <xf numFmtId="180" fontId="25" fillId="0" borderId="48" xfId="0" applyNumberFormat="1" applyFont="1" applyBorder="1">
      <alignment vertical="center"/>
    </xf>
    <xf numFmtId="180" fontId="25" fillId="0" borderId="1" xfId="0" applyNumberFormat="1" applyFont="1" applyBorder="1">
      <alignment vertical="center"/>
    </xf>
    <xf numFmtId="180" fontId="25" fillId="0" borderId="7" xfId="0" applyNumberFormat="1" applyFont="1" applyBorder="1">
      <alignment vertical="center"/>
    </xf>
    <xf numFmtId="180" fontId="25" fillId="0" borderId="46" xfId="0" applyNumberFormat="1" applyFont="1" applyBorder="1">
      <alignment vertical="center"/>
    </xf>
    <xf numFmtId="180" fontId="25" fillId="0" borderId="47" xfId="0" applyNumberFormat="1" applyFont="1" applyBorder="1">
      <alignment vertical="center"/>
    </xf>
    <xf numFmtId="0" fontId="44"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25" fillId="0" borderId="79" xfId="0" applyFont="1" applyBorder="1" applyAlignment="1">
      <alignment horizontal="center" vertical="center"/>
    </xf>
    <xf numFmtId="0" fontId="25" fillId="0" borderId="0" xfId="0" applyFont="1" applyAlignment="1">
      <alignment vertical="top"/>
    </xf>
    <xf numFmtId="0" fontId="25" fillId="0" borderId="3" xfId="0" applyFont="1" applyBorder="1" applyAlignment="1">
      <alignment horizontal="center" vertical="center"/>
    </xf>
    <xf numFmtId="0" fontId="25" fillId="0" borderId="69" xfId="0" applyFont="1" applyBorder="1" applyAlignment="1">
      <alignment horizontal="center" vertical="center"/>
    </xf>
    <xf numFmtId="0" fontId="25" fillId="0" borderId="80" xfId="0" applyFont="1" applyBorder="1" applyAlignment="1">
      <alignment horizontal="center" vertical="center"/>
    </xf>
    <xf numFmtId="0" fontId="25" fillId="0" borderId="70" xfId="0" applyFont="1" applyBorder="1" applyAlignment="1">
      <alignment horizontal="center" vertical="center"/>
    </xf>
    <xf numFmtId="0" fontId="25" fillId="0" borderId="4" xfId="0" applyFont="1" applyBorder="1">
      <alignment vertical="center"/>
    </xf>
    <xf numFmtId="0" fontId="3" fillId="0" borderId="0" xfId="0" applyFont="1" applyAlignment="1">
      <alignment vertical="top"/>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33" fillId="0" borderId="0" xfId="0" applyFont="1">
      <alignment vertical="center"/>
    </xf>
    <xf numFmtId="0" fontId="10" fillId="0" borderId="36" xfId="0" applyFont="1" applyBorder="1">
      <alignment vertical="center"/>
    </xf>
    <xf numFmtId="0" fontId="4" fillId="0" borderId="37" xfId="0" applyFont="1" applyBorder="1">
      <alignment vertical="center"/>
    </xf>
    <xf numFmtId="176" fontId="4" fillId="0" borderId="37" xfId="0" applyNumberFormat="1" applyFont="1" applyBorder="1" applyAlignment="1">
      <alignment horizontal="center" vertical="center"/>
    </xf>
    <xf numFmtId="0" fontId="4" fillId="0" borderId="38" xfId="0" applyFont="1" applyBorder="1">
      <alignment vertical="center"/>
    </xf>
    <xf numFmtId="0" fontId="4" fillId="0" borderId="88" xfId="0" applyFont="1" applyBorder="1">
      <alignment vertical="center"/>
    </xf>
    <xf numFmtId="0" fontId="4" fillId="0" borderId="89" xfId="0" applyFont="1" applyBorder="1">
      <alignment vertical="center"/>
    </xf>
    <xf numFmtId="0" fontId="3" fillId="0" borderId="89" xfId="0" applyFont="1" applyBorder="1">
      <alignment vertical="center"/>
    </xf>
    <xf numFmtId="0" fontId="8" fillId="0" borderId="89" xfId="0" applyFont="1" applyBorder="1">
      <alignment vertical="center"/>
    </xf>
    <xf numFmtId="0" fontId="8" fillId="0" borderId="89" xfId="0" applyFont="1" applyBorder="1" applyAlignment="1">
      <alignment horizontal="center" vertical="center"/>
    </xf>
    <xf numFmtId="0" fontId="4" fillId="0" borderId="34" xfId="0" applyFont="1" applyBorder="1">
      <alignment vertical="center"/>
    </xf>
    <xf numFmtId="0" fontId="4" fillId="0" borderId="31" xfId="0" applyFont="1" applyBorder="1">
      <alignment vertical="center"/>
    </xf>
    <xf numFmtId="0" fontId="4" fillId="0" borderId="35" xfId="0" applyFont="1" applyBorder="1">
      <alignment vertical="center"/>
    </xf>
    <xf numFmtId="0" fontId="4" fillId="0" borderId="37" xfId="0" applyFont="1" applyBorder="1" applyAlignment="1">
      <alignment horizontal="center" vertical="center"/>
    </xf>
    <xf numFmtId="177" fontId="4" fillId="0" borderId="37" xfId="0" applyNumberFormat="1" applyFont="1" applyBorder="1" applyAlignment="1">
      <alignment horizontal="center" vertical="center"/>
    </xf>
    <xf numFmtId="0" fontId="14" fillId="0" borderId="31" xfId="0" applyFont="1" applyBorder="1">
      <alignment vertical="center"/>
    </xf>
    <xf numFmtId="176" fontId="44" fillId="0" borderId="31" xfId="0" applyNumberFormat="1" applyFont="1" applyBorder="1" applyAlignment="1">
      <alignment horizontal="center" vertical="center"/>
    </xf>
    <xf numFmtId="176" fontId="4" fillId="0" borderId="31" xfId="0" applyNumberFormat="1" applyFont="1" applyBorder="1" applyAlignment="1">
      <alignment horizontal="center" vertical="center"/>
    </xf>
    <xf numFmtId="177" fontId="4" fillId="0" borderId="31" xfId="0" applyNumberFormat="1" applyFont="1" applyBorder="1">
      <alignment vertical="center"/>
    </xf>
    <xf numFmtId="0" fontId="4" fillId="0" borderId="88" xfId="0" applyFont="1" applyBorder="1" applyAlignment="1">
      <alignment horizontal="center" vertical="center"/>
    </xf>
    <xf numFmtId="0" fontId="7" fillId="0" borderId="89" xfId="3" applyFont="1" applyFill="1" applyBorder="1" applyAlignment="1" applyProtection="1">
      <alignment horizontal="center" vertical="center" wrapText="1"/>
    </xf>
    <xf numFmtId="0" fontId="9" fillId="0" borderId="88" xfId="0" applyFont="1" applyBorder="1">
      <alignment vertical="center"/>
    </xf>
    <xf numFmtId="0" fontId="11" fillId="0" borderId="0" xfId="0" applyFont="1">
      <alignment vertical="center"/>
    </xf>
    <xf numFmtId="0" fontId="21" fillId="0" borderId="89" xfId="0" applyFont="1" applyBorder="1">
      <alignment vertical="center"/>
    </xf>
    <xf numFmtId="0" fontId="31" fillId="0" borderId="0" xfId="0" applyFont="1">
      <alignment vertical="center"/>
    </xf>
    <xf numFmtId="0" fontId="25" fillId="0" borderId="31" xfId="0" applyFont="1" applyBorder="1">
      <alignment vertical="center"/>
    </xf>
    <xf numFmtId="49" fontId="9" fillId="0" borderId="6" xfId="0" applyNumberFormat="1" applyFont="1" applyBorder="1" applyAlignment="1" applyProtection="1">
      <alignment horizontal="center" vertical="center"/>
      <protection locked="0"/>
    </xf>
    <xf numFmtId="49" fontId="44" fillId="0" borderId="6" xfId="0" applyNumberFormat="1" applyFont="1" applyBorder="1" applyAlignment="1" applyProtection="1">
      <alignment horizontal="center" vertical="center"/>
      <protection locked="0"/>
    </xf>
    <xf numFmtId="185" fontId="14" fillId="0" borderId="6" xfId="0" applyNumberFormat="1" applyFont="1" applyBorder="1">
      <alignmen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63" xfId="0" applyNumberFormat="1" applyFont="1" applyBorder="1" applyAlignment="1">
      <alignment horizontal="center" vertical="center"/>
    </xf>
    <xf numFmtId="176" fontId="4" fillId="0" borderId="64" xfId="0" applyNumberFormat="1" applyFont="1" applyBorder="1" applyAlignment="1">
      <alignment horizontal="center" vertical="center"/>
    </xf>
    <xf numFmtId="178" fontId="4" fillId="0" borderId="55" xfId="0" applyNumberFormat="1" applyFont="1" applyBorder="1">
      <alignment vertical="center"/>
    </xf>
    <xf numFmtId="178" fontId="4" fillId="0" borderId="56" xfId="0" applyNumberFormat="1" applyFont="1" applyBorder="1">
      <alignment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176" fontId="14" fillId="0" borderId="7" xfId="0" applyNumberFormat="1" applyFont="1" applyBorder="1">
      <alignment vertical="center"/>
    </xf>
    <xf numFmtId="176" fontId="14" fillId="0" borderId="29" xfId="0" applyNumberFormat="1" applyFont="1" applyBorder="1">
      <alignment vertical="center"/>
    </xf>
    <xf numFmtId="176" fontId="14" fillId="0" borderId="2" xfId="0" applyNumberFormat="1" applyFont="1" applyBorder="1">
      <alignment vertical="center"/>
    </xf>
    <xf numFmtId="176" fontId="13" fillId="2" borderId="43" xfId="0" applyNumberFormat="1" applyFont="1" applyFill="1" applyBorder="1" applyAlignment="1">
      <alignment horizontal="center" vertical="center"/>
    </xf>
    <xf numFmtId="176" fontId="13" fillId="2" borderId="44" xfId="0" applyNumberFormat="1" applyFont="1" applyFill="1" applyBorder="1" applyAlignment="1">
      <alignment horizontal="center" vertical="center"/>
    </xf>
    <xf numFmtId="176" fontId="13" fillId="2" borderId="45" xfId="0" applyNumberFormat="1" applyFont="1" applyFill="1" applyBorder="1" applyAlignment="1">
      <alignment horizontal="center" vertical="center"/>
    </xf>
    <xf numFmtId="176" fontId="4" fillId="0" borderId="7" xfId="1" applyNumberFormat="1" applyFont="1" applyBorder="1" applyAlignment="1" applyProtection="1">
      <alignment horizontal="center" vertical="center"/>
    </xf>
    <xf numFmtId="176" fontId="4" fillId="0" borderId="2" xfId="1" applyNumberFormat="1" applyFont="1" applyBorder="1" applyAlignment="1" applyProtection="1">
      <alignment horizontal="center" vertical="center"/>
    </xf>
    <xf numFmtId="176" fontId="4" fillId="0" borderId="1" xfId="1" applyNumberFormat="1" applyFont="1" applyBorder="1" applyAlignment="1" applyProtection="1">
      <alignment horizontal="center" vertical="center"/>
    </xf>
    <xf numFmtId="176" fontId="3" fillId="0" borderId="1" xfId="1" applyNumberFormat="1" applyFont="1" applyFill="1" applyBorder="1" applyAlignment="1" applyProtection="1">
      <alignment horizontal="center" vertical="center"/>
    </xf>
    <xf numFmtId="0" fontId="17" fillId="0" borderId="12" xfId="0" applyFont="1" applyBorder="1" applyAlignment="1">
      <alignment horizontal="right" vertical="center"/>
    </xf>
    <xf numFmtId="0" fontId="17" fillId="0" borderId="23" xfId="0" applyFont="1" applyBorder="1" applyAlignment="1">
      <alignment horizontal="right" vertical="center"/>
    </xf>
    <xf numFmtId="0" fontId="17" fillId="0" borderId="26" xfId="0" applyFont="1" applyBorder="1" applyAlignment="1">
      <alignment horizontal="right" vertical="center"/>
    </xf>
    <xf numFmtId="0" fontId="18" fillId="0" borderId="1" xfId="0" applyFont="1" applyBorder="1" applyAlignment="1">
      <alignment horizontal="center" vertical="center"/>
    </xf>
    <xf numFmtId="176" fontId="14" fillId="0" borderId="24" xfId="0" applyNumberFormat="1" applyFont="1" applyBorder="1" applyAlignment="1">
      <alignment horizontal="right" vertical="center"/>
    </xf>
    <xf numFmtId="176" fontId="14" fillId="0" borderId="25" xfId="0" applyNumberFormat="1" applyFont="1" applyBorder="1" applyAlignment="1">
      <alignment horizontal="right" vertical="center"/>
    </xf>
    <xf numFmtId="0" fontId="8" fillId="11" borderId="1"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181" fontId="51" fillId="2" borderId="36" xfId="0" applyNumberFormat="1" applyFont="1" applyFill="1" applyBorder="1" applyAlignment="1">
      <alignment horizontal="center" vertical="center"/>
    </xf>
    <xf numFmtId="181" fontId="51" fillId="2" borderId="37" xfId="0" applyNumberFormat="1" applyFont="1" applyFill="1" applyBorder="1" applyAlignment="1">
      <alignment horizontal="center" vertical="center"/>
    </xf>
    <xf numFmtId="181" fontId="51" fillId="2" borderId="38" xfId="0" applyNumberFormat="1" applyFont="1" applyFill="1" applyBorder="1" applyAlignment="1">
      <alignment horizontal="center" vertical="center"/>
    </xf>
    <xf numFmtId="181" fontId="51" fillId="2" borderId="34" xfId="0" applyNumberFormat="1" applyFont="1" applyFill="1" applyBorder="1" applyAlignment="1">
      <alignment horizontal="center" vertical="center"/>
    </xf>
    <xf numFmtId="181" fontId="51" fillId="2" borderId="31" xfId="0" applyNumberFormat="1" applyFont="1" applyFill="1" applyBorder="1" applyAlignment="1">
      <alignment horizontal="center" vertical="center"/>
    </xf>
    <xf numFmtId="181" fontId="51" fillId="2" borderId="35" xfId="0" applyNumberFormat="1" applyFont="1" applyFill="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4" xfId="0" applyFont="1" applyBorder="1" applyAlignment="1">
      <alignment horizontal="center" vertical="center"/>
    </xf>
    <xf numFmtId="0" fontId="10" fillId="0" borderId="31" xfId="0" applyFont="1" applyBorder="1" applyAlignment="1">
      <alignment horizontal="center" vertical="center"/>
    </xf>
    <xf numFmtId="0" fontId="10" fillId="0" borderId="35" xfId="0" applyFont="1" applyBorder="1" applyAlignment="1">
      <alignment horizontal="center" vertical="center"/>
    </xf>
    <xf numFmtId="56" fontId="52" fillId="0" borderId="36" xfId="0" applyNumberFormat="1" applyFont="1" applyBorder="1" applyAlignment="1" applyProtection="1">
      <alignment horizontal="center" vertical="center"/>
      <protection locked="0"/>
    </xf>
    <xf numFmtId="0" fontId="52" fillId="0" borderId="37"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34" xfId="0" applyFont="1" applyBorder="1" applyAlignment="1" applyProtection="1">
      <alignment horizontal="center" vertical="center"/>
      <protection locked="0"/>
    </xf>
    <xf numFmtId="0" fontId="52" fillId="0" borderId="31" xfId="0" applyFont="1" applyBorder="1" applyAlignment="1" applyProtection="1">
      <alignment horizontal="center" vertical="center"/>
      <protection locked="0"/>
    </xf>
    <xf numFmtId="0" fontId="52" fillId="0" borderId="35" xfId="0" applyFont="1" applyBorder="1" applyAlignment="1" applyProtection="1">
      <alignment horizontal="center" vertical="center"/>
      <protection locked="0"/>
    </xf>
    <xf numFmtId="0" fontId="4" fillId="0" borderId="62" xfId="0" applyFont="1" applyBorder="1" applyAlignment="1">
      <alignment vertical="center" wrapText="1"/>
    </xf>
    <xf numFmtId="0" fontId="4" fillId="0" borderId="0" xfId="0" applyFont="1" applyAlignment="1">
      <alignment vertical="center" wrapText="1"/>
    </xf>
    <xf numFmtId="0" fontId="26" fillId="0" borderId="81" xfId="0" applyFont="1" applyBorder="1" applyAlignment="1">
      <alignment horizontal="center" vertical="center"/>
    </xf>
    <xf numFmtId="0" fontId="26" fillId="0" borderId="84" xfId="0" applyFont="1" applyBorder="1" applyAlignment="1">
      <alignment horizontal="center" vertical="center"/>
    </xf>
    <xf numFmtId="0" fontId="26" fillId="0" borderId="82" xfId="0" applyFont="1" applyBorder="1" applyAlignment="1">
      <alignment horizontal="center" vertical="center"/>
    </xf>
    <xf numFmtId="0" fontId="26" fillId="0" borderId="85" xfId="0" applyFont="1" applyBorder="1" applyAlignment="1">
      <alignment horizontal="center" vertical="center"/>
    </xf>
    <xf numFmtId="182" fontId="26" fillId="0" borderId="81" xfId="0" applyNumberFormat="1" applyFont="1" applyBorder="1" applyAlignment="1">
      <alignment horizontal="center" vertical="center"/>
    </xf>
    <xf numFmtId="182" fontId="26" fillId="0" borderId="83" xfId="0" applyNumberFormat="1" applyFont="1" applyBorder="1" applyAlignment="1">
      <alignment horizontal="center" vertical="center"/>
    </xf>
    <xf numFmtId="182" fontId="26" fillId="0" borderId="84" xfId="0" applyNumberFormat="1" applyFont="1" applyBorder="1" applyAlignment="1">
      <alignment horizontal="center" vertical="center"/>
    </xf>
    <xf numFmtId="182" fontId="26" fillId="0" borderId="86" xfId="0" applyNumberFormat="1" applyFont="1" applyBorder="1" applyAlignment="1">
      <alignment horizontal="center" vertical="center"/>
    </xf>
    <xf numFmtId="55" fontId="26" fillId="0" borderId="81" xfId="0" applyNumberFormat="1" applyFont="1" applyBorder="1" applyAlignment="1">
      <alignment horizontal="center" vertical="center"/>
    </xf>
    <xf numFmtId="0" fontId="26" fillId="0" borderId="83" xfId="0" applyFont="1" applyBorder="1" applyAlignment="1">
      <alignment horizontal="center" vertical="center"/>
    </xf>
    <xf numFmtId="0" fontId="26" fillId="0" borderId="86" xfId="0" applyFont="1" applyBorder="1" applyAlignment="1">
      <alignment horizontal="center" vertical="center"/>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34" xfId="0" applyFont="1" applyBorder="1" applyAlignment="1">
      <alignment horizontal="center" vertical="center"/>
    </xf>
    <xf numFmtId="0" fontId="34" fillId="0" borderId="31" xfId="0" applyFont="1" applyBorder="1" applyAlignment="1">
      <alignment horizontal="center" vertical="center"/>
    </xf>
    <xf numFmtId="0" fontId="34" fillId="0" borderId="38" xfId="0" applyFont="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right" vertical="center"/>
    </xf>
    <xf numFmtId="0" fontId="34" fillId="0" borderId="34" xfId="0" applyFont="1" applyBorder="1" applyAlignment="1">
      <alignment horizontal="right" vertical="center"/>
    </xf>
    <xf numFmtId="0" fontId="25" fillId="0" borderId="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176" fontId="4" fillId="0" borderId="6" xfId="1" applyNumberFormat="1" applyFont="1" applyBorder="1" applyAlignment="1" applyProtection="1">
      <alignment horizontal="center" vertical="center"/>
    </xf>
    <xf numFmtId="0" fontId="18" fillId="0" borderId="6" xfId="0" applyFont="1" applyBorder="1" applyAlignment="1">
      <alignment horizontal="center" vertical="center"/>
    </xf>
    <xf numFmtId="0" fontId="17" fillId="0" borderId="1" xfId="0" applyFont="1" applyBorder="1" applyAlignment="1">
      <alignment horizontal="center" vertical="center"/>
    </xf>
    <xf numFmtId="178" fontId="4" fillId="0" borderId="12" xfId="0" applyNumberFormat="1" applyFont="1" applyBorder="1">
      <alignment vertical="center"/>
    </xf>
    <xf numFmtId="178" fontId="4" fillId="0" borderId="13" xfId="0" applyNumberFormat="1" applyFont="1" applyBorder="1">
      <alignmen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178" fontId="4" fillId="0" borderId="65" xfId="0" applyNumberFormat="1" applyFont="1" applyBorder="1">
      <alignment vertical="center"/>
    </xf>
    <xf numFmtId="178" fontId="4" fillId="0" borderId="66" xfId="0" applyNumberFormat="1" applyFont="1" applyBorder="1">
      <alignment vertical="center"/>
    </xf>
    <xf numFmtId="178" fontId="4" fillId="0" borderId="41" xfId="0" applyNumberFormat="1" applyFont="1" applyBorder="1">
      <alignment vertical="center"/>
    </xf>
    <xf numFmtId="178" fontId="4" fillId="0" borderId="42" xfId="0" applyNumberFormat="1" applyFont="1" applyBorder="1">
      <alignment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8" fillId="0" borderId="14" xfId="0" applyFont="1" applyBorder="1" applyAlignment="1">
      <alignment horizontal="center" vertical="center" wrapText="1"/>
    </xf>
    <xf numFmtId="0" fontId="8" fillId="0" borderId="72" xfId="0" applyFont="1" applyBorder="1" applyAlignment="1">
      <alignment horizontal="center" vertical="center" wrapText="1"/>
    </xf>
    <xf numFmtId="0" fontId="13" fillId="0" borderId="0" xfId="0" applyFont="1" applyAlignment="1">
      <alignment horizontal="center" vertical="center"/>
    </xf>
    <xf numFmtId="0" fontId="13" fillId="0" borderId="15" xfId="0" applyFont="1" applyBorder="1" applyAlignment="1">
      <alignment horizontal="center" vertical="center"/>
    </xf>
    <xf numFmtId="178" fontId="14" fillId="0" borderId="59" xfId="0" applyNumberFormat="1" applyFont="1" applyBorder="1">
      <alignment vertical="center"/>
    </xf>
    <xf numFmtId="178" fontId="14" fillId="0" borderId="60" xfId="0" applyNumberFormat="1" applyFont="1" applyBorder="1">
      <alignment vertical="center"/>
    </xf>
    <xf numFmtId="176" fontId="14" fillId="0" borderId="69" xfId="0" applyNumberFormat="1" applyFont="1" applyBorder="1">
      <alignment vertical="center"/>
    </xf>
    <xf numFmtId="176" fontId="14" fillId="0" borderId="70" xfId="0" applyNumberFormat="1" applyFont="1" applyBorder="1">
      <alignment vertical="center"/>
    </xf>
    <xf numFmtId="0" fontId="24" fillId="0" borderId="30" xfId="0" applyFont="1" applyBorder="1" applyAlignment="1">
      <alignment horizontal="center" vertical="center"/>
    </xf>
    <xf numFmtId="178" fontId="4" fillId="0" borderId="5" xfId="0" applyNumberFormat="1" applyFont="1" applyBorder="1">
      <alignment vertical="center"/>
    </xf>
    <xf numFmtId="178" fontId="14" fillId="0" borderId="6" xfId="0" applyNumberFormat="1" applyFont="1" applyBorder="1">
      <alignment vertical="center"/>
    </xf>
    <xf numFmtId="176" fontId="4" fillId="0" borderId="65" xfId="0" applyNumberFormat="1" applyFont="1" applyBorder="1" applyAlignment="1">
      <alignment horizontal="center" vertical="center"/>
    </xf>
    <xf numFmtId="176" fontId="4" fillId="0" borderId="66" xfId="0" applyNumberFormat="1"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176" fontId="14" fillId="0" borderId="59" xfId="0" applyNumberFormat="1" applyFont="1" applyBorder="1">
      <alignment vertical="center"/>
    </xf>
    <xf numFmtId="176" fontId="14" fillId="0" borderId="60" xfId="0" applyNumberFormat="1" applyFont="1" applyBorder="1">
      <alignmen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178" fontId="4" fillId="0" borderId="7" xfId="0" applyNumberFormat="1" applyFont="1" applyBorder="1">
      <alignment vertical="center"/>
    </xf>
    <xf numFmtId="178" fontId="4" fillId="0" borderId="2" xfId="0" applyNumberFormat="1" applyFont="1" applyBorder="1">
      <alignment vertical="center"/>
    </xf>
    <xf numFmtId="0" fontId="8" fillId="0" borderId="1" xfId="0" applyFont="1" applyBorder="1" applyAlignment="1">
      <alignment horizontal="center" vertical="center" wrapText="1"/>
    </xf>
    <xf numFmtId="176" fontId="5" fillId="0" borderId="8" xfId="0" applyNumberFormat="1" applyFont="1" applyBorder="1" applyAlignment="1">
      <alignment horizontal="left" vertical="center"/>
    </xf>
    <xf numFmtId="176" fontId="5" fillId="0" borderId="13" xfId="0" applyNumberFormat="1" applyFont="1" applyBorder="1" applyAlignment="1">
      <alignment horizontal="left" vertical="center"/>
    </xf>
    <xf numFmtId="176" fontId="5" fillId="0" borderId="7" xfId="0" applyNumberFormat="1" applyFont="1" applyBorder="1" applyAlignment="1">
      <alignment horizontal="left" vertical="center"/>
    </xf>
    <xf numFmtId="176" fontId="5" fillId="0" borderId="2" xfId="0" applyNumberFormat="1" applyFont="1" applyBorder="1" applyAlignment="1">
      <alignment horizontal="left"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4" fillId="0" borderId="77" xfId="0" applyFont="1" applyBorder="1" applyAlignment="1">
      <alignment horizontal="center" vertical="center"/>
    </xf>
    <xf numFmtId="0" fontId="4" fillId="0" borderId="78" xfId="0" applyFont="1" applyBorder="1" applyAlignment="1">
      <alignment horizontal="center" vertical="center"/>
    </xf>
    <xf numFmtId="176" fontId="21" fillId="0" borderId="8" xfId="0" applyNumberFormat="1" applyFont="1" applyBorder="1" applyAlignment="1">
      <alignment horizontal="center" vertical="center"/>
    </xf>
    <xf numFmtId="176" fontId="21" fillId="0" borderId="9" xfId="0" applyNumberFormat="1" applyFont="1" applyBorder="1" applyAlignment="1">
      <alignment horizontal="center" vertical="center"/>
    </xf>
    <xf numFmtId="176" fontId="21" fillId="0" borderId="7" xfId="0" applyNumberFormat="1" applyFont="1" applyBorder="1" applyAlignment="1">
      <alignment horizontal="center" vertical="center"/>
    </xf>
    <xf numFmtId="176" fontId="21" fillId="0" borderId="2" xfId="0" applyNumberFormat="1" applyFont="1" applyBorder="1" applyAlignment="1">
      <alignment horizontal="center"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22" xfId="0" applyFont="1" applyBorder="1" applyAlignment="1">
      <alignment horizontal="left" vertical="center" wrapText="1"/>
    </xf>
    <xf numFmtId="0" fontId="4" fillId="0" borderId="71" xfId="0" applyFont="1" applyBorder="1" applyAlignment="1">
      <alignment horizontal="center" vertical="center"/>
    </xf>
    <xf numFmtId="0" fontId="8" fillId="0" borderId="3"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8" fillId="0" borderId="71" xfId="3" applyFont="1" applyFill="1" applyBorder="1" applyAlignment="1" applyProtection="1">
      <alignment horizontal="center" vertical="center" wrapText="1"/>
    </xf>
    <xf numFmtId="176" fontId="10" fillId="2" borderId="43" xfId="0" applyNumberFormat="1" applyFont="1" applyFill="1" applyBorder="1" applyAlignment="1">
      <alignment horizontal="center" vertical="center"/>
    </xf>
    <xf numFmtId="176" fontId="10" fillId="2" borderId="44" xfId="0" applyNumberFormat="1" applyFont="1" applyFill="1" applyBorder="1" applyAlignment="1">
      <alignment horizontal="center" vertical="center"/>
    </xf>
    <xf numFmtId="176" fontId="10" fillId="2" borderId="45" xfId="0" applyNumberFormat="1" applyFont="1" applyFill="1" applyBorder="1" applyAlignment="1">
      <alignment horizontal="center" vertical="center"/>
    </xf>
    <xf numFmtId="181" fontId="10" fillId="2" borderId="36" xfId="0" applyNumberFormat="1" applyFont="1" applyFill="1" applyBorder="1" applyAlignment="1">
      <alignment horizontal="center" vertical="center"/>
    </xf>
    <xf numFmtId="181" fontId="10" fillId="2" borderId="37" xfId="0" applyNumberFormat="1" applyFont="1" applyFill="1" applyBorder="1" applyAlignment="1">
      <alignment horizontal="center" vertical="center"/>
    </xf>
    <xf numFmtId="181" fontId="10" fillId="2" borderId="38" xfId="0" applyNumberFormat="1" applyFont="1" applyFill="1" applyBorder="1" applyAlignment="1">
      <alignment horizontal="center" vertical="center"/>
    </xf>
    <xf numFmtId="181" fontId="10" fillId="2" borderId="34" xfId="0" applyNumberFormat="1" applyFont="1" applyFill="1" applyBorder="1" applyAlignment="1">
      <alignment horizontal="center" vertical="center"/>
    </xf>
    <xf numFmtId="181" fontId="10" fillId="2" borderId="31" xfId="0" applyNumberFormat="1" applyFont="1" applyFill="1" applyBorder="1" applyAlignment="1">
      <alignment horizontal="center" vertical="center"/>
    </xf>
    <xf numFmtId="181" fontId="10" fillId="2" borderId="35" xfId="0" applyNumberFormat="1" applyFont="1" applyFill="1" applyBorder="1" applyAlignment="1">
      <alignment horizontal="center" vertical="center"/>
    </xf>
    <xf numFmtId="56" fontId="16" fillId="0" borderId="36" xfId="0" applyNumberFormat="1"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38" fontId="38" fillId="2" borderId="0" xfId="1" applyFont="1" applyFill="1" applyBorder="1" applyAlignment="1" applyProtection="1">
      <alignment horizontal="right"/>
      <protection locked="0"/>
    </xf>
    <xf numFmtId="38" fontId="38" fillId="2" borderId="4" xfId="1" applyFont="1" applyFill="1" applyBorder="1" applyAlignment="1" applyProtection="1">
      <alignment horizontal="right"/>
      <protection locked="0"/>
    </xf>
    <xf numFmtId="38" fontId="37" fillId="10" borderId="0" xfId="1" applyFont="1" applyFill="1" applyBorder="1" applyAlignment="1" applyProtection="1">
      <alignment horizontal="right"/>
      <protection locked="0"/>
    </xf>
    <xf numFmtId="38" fontId="37" fillId="10" borderId="4" xfId="1" applyFont="1" applyFill="1" applyBorder="1" applyAlignment="1" applyProtection="1">
      <alignment horizontal="right"/>
      <protection locked="0"/>
    </xf>
    <xf numFmtId="0" fontId="35" fillId="2" borderId="0" xfId="0" applyFont="1" applyFill="1" applyAlignment="1">
      <alignment horizontal="lef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8" borderId="1" xfId="0" applyFill="1" applyBorder="1" applyAlignment="1">
      <alignment horizontal="right" vertical="center"/>
    </xf>
    <xf numFmtId="0" fontId="43" fillId="0" borderId="0" xfId="0" applyFont="1" applyAlignment="1">
      <alignment horizontal="center" vertical="center"/>
    </xf>
    <xf numFmtId="0" fontId="46" fillId="0" borderId="0" xfId="0" applyFont="1" applyAlignment="1">
      <alignment horizontal="center" vertical="center" wrapText="1"/>
    </xf>
    <xf numFmtId="38" fontId="40" fillId="2" borderId="0" xfId="1" applyFont="1" applyFill="1" applyAlignment="1">
      <alignment horizontal="right" vertical="center"/>
    </xf>
    <xf numFmtId="183" fontId="0" fillId="0" borderId="1" xfId="0" applyNumberFormat="1" applyBorder="1" applyAlignment="1">
      <alignment horizontal="center" vertical="center"/>
    </xf>
    <xf numFmtId="0" fontId="0" fillId="4" borderId="1" xfId="0" applyFill="1" applyBorder="1" applyAlignment="1">
      <alignment horizontal="right" vertical="center"/>
    </xf>
    <xf numFmtId="0" fontId="41" fillId="2" borderId="0" xfId="0" applyFont="1" applyFill="1" applyAlignment="1"/>
    <xf numFmtId="0" fontId="41" fillId="2" borderId="4" xfId="0" applyFont="1" applyFill="1" applyBorder="1" applyAlignment="1"/>
    <xf numFmtId="0" fontId="42" fillId="5" borderId="0" xfId="0" applyFont="1" applyFill="1" applyAlignment="1" applyProtection="1">
      <alignment horizontal="center" vertical="center"/>
      <protection locked="0"/>
    </xf>
    <xf numFmtId="38" fontId="39" fillId="5" borderId="0" xfId="1" applyFont="1" applyFill="1" applyBorder="1" applyAlignment="1" applyProtection="1">
      <alignment horizontal="center"/>
      <protection locked="0"/>
    </xf>
    <xf numFmtId="38" fontId="39" fillId="5" borderId="4" xfId="1" applyFont="1" applyFill="1" applyBorder="1" applyAlignment="1" applyProtection="1">
      <alignment horizontal="center"/>
      <protection locked="0"/>
    </xf>
    <xf numFmtId="0" fontId="41" fillId="0" borderId="0" xfId="0" applyFont="1" applyAlignment="1"/>
    <xf numFmtId="0" fontId="41" fillId="0" borderId="4" xfId="0" applyFont="1" applyBorder="1" applyAlignment="1"/>
    <xf numFmtId="0" fontId="45" fillId="0" borderId="0" xfId="0" applyFont="1" applyAlignment="1">
      <alignment horizontal="center" vertical="center"/>
    </xf>
    <xf numFmtId="0" fontId="48" fillId="2" borderId="0" xfId="0" applyFont="1" applyFill="1" applyAlignment="1">
      <alignment horizontal="center" vertical="center"/>
    </xf>
  </cellXfs>
  <cellStyles count="5">
    <cellStyle name="スタイル 1" xfId="4" xr:uid="{00000000-0005-0000-0000-000000000000}"/>
    <cellStyle name="パーセント" xfId="2" builtinId="5"/>
    <cellStyle name="ハイパーリンク" xfId="3" builtinId="8"/>
    <cellStyle name="桁区切り" xfId="1" builtinId="6"/>
    <cellStyle name="標準" xfId="0" builtinId="0"/>
  </cellStyles>
  <dxfs count="9">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2" defaultPivotStyle="PivotStyleLight16"/>
  <colors>
    <mruColors>
      <color rgb="FF00DA00"/>
      <color rgb="FFD2D200"/>
      <color rgb="FFE3DE00"/>
      <color rgb="FF00C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20844;&#30340;&#24180;&#37329;&#31561;&#25152;&#24471;&#12398;&#30906;&#35469;&#12471;&#12540;&#12488;!A1"/><Relationship Id="rId2" Type="http://schemas.openxmlformats.org/officeDocument/2006/relationships/hyperlink" Target="#&#30906;&#23450;&#30003;&#21578;&#26360;!A1"/><Relationship Id="rId1" Type="http://schemas.openxmlformats.org/officeDocument/2006/relationships/hyperlink" Target="#&#32102;&#19982;&#25152;&#24471;&#12398;&#30906;&#35469;&#12471;&#12540;&#12488;!A1"/><Relationship Id="rId5" Type="http://schemas.openxmlformats.org/officeDocument/2006/relationships/hyperlink" Target="#'&#20837;&#21147;&#20363;&#65288;&#65298;&#65289;&#19990;&#24111;&#20027;&#12399;&#22269;&#20445;&#12395;&#21152;&#20837;&#12375;&#12394;&#12356;&#22580;&#21512;'!A1"/><Relationship Id="rId4" Type="http://schemas.openxmlformats.org/officeDocument/2006/relationships/hyperlink" Target="#'&#20837;&#21147;&#20363;&#65288;&#65297;&#65289;&#19990;&#24111;&#20027;&#12364;&#22269;&#20445;&#12395;&#21152;&#20837;&#12377;&#12427;&#22580;&#21512;'!A1"/></Relationships>
</file>

<file path=xl/drawings/_rels/drawing2.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hyperlink" Target="#&#32102;&#19982;&#25152;&#24471;&#12398;&#30906;&#35469;&#12471;&#12540;&#12488;!A1"/></Relationships>
</file>

<file path=xl/drawings/_rels/drawing3.xml.rels><?xml version="1.0" encoding="UTF-8" standalone="yes"?>
<Relationships xmlns="http://schemas.openxmlformats.org/package/2006/relationships"><Relationship Id="rId3" Type="http://schemas.openxmlformats.org/officeDocument/2006/relationships/hyperlink" Target="#&#20844;&#30340;&#24180;&#37329;&#31561;&#25152;&#24471;&#12398;&#30906;&#35469;&#12471;&#12540;&#12488;!A1"/><Relationship Id="rId2" Type="http://schemas.openxmlformats.org/officeDocument/2006/relationships/hyperlink" Target="#&#30906;&#23450;&#30003;&#21578;&#26360;&#65314;&#29992;!A1"/><Relationship Id="rId1" Type="http://schemas.openxmlformats.org/officeDocument/2006/relationships/hyperlink" Target="#&#32102;&#19982;&#25152;&#24471;&#12398;&#30906;&#35469;&#12471;&#12540;&#12488;!A1"/><Relationship Id="rId4" Type="http://schemas.openxmlformats.org/officeDocument/2006/relationships/hyperlink" Target="#&#20445;&#38522;&#31246;&#35430;&#31639;&#12471;&#12540;&#12488;!A1"/></Relationships>
</file>

<file path=xl/drawings/_rels/drawing4.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445;&#38522;&#31246;&#35430;&#31639;&#12471;&#12540;&#12488;!A1"/></Relationships>
</file>

<file path=xl/drawings/_rels/drawing6.xml.rels><?xml version="1.0" encoding="UTF-8" standalone="yes"?>
<Relationships xmlns="http://schemas.openxmlformats.org/package/2006/relationships"><Relationship Id="rId2" Type="http://schemas.openxmlformats.org/officeDocument/2006/relationships/hyperlink" Target="#&#20445;&#38522;&#31246;&#35430;&#31639;&#12471;&#12540;&#12488;!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10467</xdr:colOff>
      <xdr:row>5</xdr:row>
      <xdr:rowOff>282610</xdr:rowOff>
    </xdr:from>
    <xdr:to>
      <xdr:col>8</xdr:col>
      <xdr:colOff>743159</xdr:colOff>
      <xdr:row>6</xdr:row>
      <xdr:rowOff>334946</xdr:rowOff>
    </xdr:to>
    <xdr:sp macro="" textlink="">
      <xdr:nvSpPr>
        <xdr:cNvPr id="11" name="矢印: 右 10">
          <a:extLst>
            <a:ext uri="{FF2B5EF4-FFF2-40B4-BE49-F238E27FC236}">
              <a16:creationId xmlns:a16="http://schemas.microsoft.com/office/drawing/2014/main" id="{0492F4BA-56DD-4135-B0EA-AE554EEF50A2}"/>
            </a:ext>
          </a:extLst>
        </xdr:cNvPr>
        <xdr:cNvSpPr/>
      </xdr:nvSpPr>
      <xdr:spPr>
        <a:xfrm rot="10800000">
          <a:off x="7892143" y="2156209"/>
          <a:ext cx="732692" cy="5338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655266</xdr:colOff>
      <xdr:row>19</xdr:row>
      <xdr:rowOff>9072</xdr:rowOff>
    </xdr:from>
    <xdr:to>
      <xdr:col>10</xdr:col>
      <xdr:colOff>1161914</xdr:colOff>
      <xdr:row>19</xdr:row>
      <xdr:rowOff>360683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8856223" y="7426412"/>
          <a:ext cx="1533457"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9</xdr:col>
      <xdr:colOff>655543</xdr:colOff>
      <xdr:row>21</xdr:row>
      <xdr:rowOff>11365</xdr:rowOff>
    </xdr:from>
    <xdr:to>
      <xdr:col>10</xdr:col>
      <xdr:colOff>1161915</xdr:colOff>
      <xdr:row>21</xdr:row>
      <xdr:rowOff>366059</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8852646" y="8199130"/>
          <a:ext cx="1535445" cy="354694"/>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確定申告書</a:t>
          </a:r>
          <a:endParaRPr kumimoji="1" lang="en-US" altLang="ja-JP" sz="1200" b="1"/>
        </a:p>
      </xdr:txBody>
    </xdr:sp>
    <xdr:clientData/>
  </xdr:twoCellAnchor>
  <xdr:twoCellAnchor>
    <xdr:from>
      <xdr:col>9</xdr:col>
      <xdr:colOff>655544</xdr:colOff>
      <xdr:row>20</xdr:row>
      <xdr:rowOff>6754</xdr:rowOff>
    </xdr:from>
    <xdr:to>
      <xdr:col>10</xdr:col>
      <xdr:colOff>1161143</xdr:colOff>
      <xdr:row>20</xdr:row>
      <xdr:rowOff>364191</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8852647" y="7813519"/>
          <a:ext cx="1534672" cy="35743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（年金）源泉徴収票</a:t>
          </a:r>
          <a:endParaRPr kumimoji="1" lang="en-US" altLang="ja-JP" sz="1200" b="1"/>
        </a:p>
      </xdr:txBody>
    </xdr:sp>
    <xdr:clientData/>
  </xdr:twoCellAnchor>
  <xdr:twoCellAnchor>
    <xdr:from>
      <xdr:col>9</xdr:col>
      <xdr:colOff>582774</xdr:colOff>
      <xdr:row>17</xdr:row>
      <xdr:rowOff>248815</xdr:rowOff>
    </xdr:from>
    <xdr:to>
      <xdr:col>11</xdr:col>
      <xdr:colOff>291581</xdr:colOff>
      <xdr:row>18</xdr:row>
      <xdr:rowOff>330459</xdr:rowOff>
    </xdr:to>
    <xdr:sp macro="" textlink="">
      <xdr:nvSpPr>
        <xdr:cNvPr id="3" name="テキスト ボックス 2">
          <a:extLst>
            <a:ext uri="{FF2B5EF4-FFF2-40B4-BE49-F238E27FC236}">
              <a16:creationId xmlns:a16="http://schemas.microsoft.com/office/drawing/2014/main" id="{FC5A8283-A165-4494-8EF1-C07653553454}"/>
            </a:ext>
          </a:extLst>
        </xdr:cNvPr>
        <xdr:cNvSpPr txBox="1"/>
      </xdr:nvSpPr>
      <xdr:spPr>
        <a:xfrm>
          <a:off x="9534330" y="7207897"/>
          <a:ext cx="2177532" cy="46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所得の計算は↓のリンクをクリックしてください</a:t>
          </a:r>
        </a:p>
      </xdr:txBody>
    </xdr:sp>
    <xdr:clientData/>
  </xdr:twoCellAnchor>
  <xdr:twoCellAnchor>
    <xdr:from>
      <xdr:col>7</xdr:col>
      <xdr:colOff>146539</xdr:colOff>
      <xdr:row>20</xdr:row>
      <xdr:rowOff>98390</xdr:rowOff>
    </xdr:from>
    <xdr:to>
      <xdr:col>9</xdr:col>
      <xdr:colOff>568361</xdr:colOff>
      <xdr:row>20</xdr:row>
      <xdr:rowOff>356926</xdr:rowOff>
    </xdr:to>
    <xdr:sp macro="" textlink="">
      <xdr:nvSpPr>
        <xdr:cNvPr id="7" name="矢印: 右 6">
          <a:extLst>
            <a:ext uri="{FF2B5EF4-FFF2-40B4-BE49-F238E27FC236}">
              <a16:creationId xmlns:a16="http://schemas.microsoft.com/office/drawing/2014/main" id="{AF76F7BD-14BE-45E2-AEB8-A5EBFC64B801}"/>
            </a:ext>
          </a:extLst>
        </xdr:cNvPr>
        <xdr:cNvSpPr/>
      </xdr:nvSpPr>
      <xdr:spPr>
        <a:xfrm>
          <a:off x="6960577" y="8220808"/>
          <a:ext cx="2557097" cy="2585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101529</xdr:colOff>
      <xdr:row>5</xdr:row>
      <xdr:rowOff>364253</xdr:rowOff>
    </xdr:from>
    <xdr:to>
      <xdr:col>3</xdr:col>
      <xdr:colOff>994368</xdr:colOff>
      <xdr:row>6</xdr:row>
      <xdr:rowOff>245440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7E45FE75-237B-447F-B717-E77B1978665A}"/>
            </a:ext>
          </a:extLst>
        </xdr:cNvPr>
        <xdr:cNvSpPr txBox="1"/>
      </xdr:nvSpPr>
      <xdr:spPr>
        <a:xfrm>
          <a:off x="101529" y="2237852"/>
          <a:ext cx="3436328" cy="362670"/>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参考：入力例（１）世帯主が国保に加入する場合</a:t>
          </a:r>
          <a:endParaRPr kumimoji="1" lang="en-US" altLang="ja-JP" sz="1200" b="1"/>
        </a:p>
      </xdr:txBody>
    </xdr:sp>
    <xdr:clientData/>
  </xdr:twoCellAnchor>
  <xdr:twoCellAnchor>
    <xdr:from>
      <xdr:col>4</xdr:col>
      <xdr:colOff>334947</xdr:colOff>
      <xdr:row>5</xdr:row>
      <xdr:rowOff>356926</xdr:rowOff>
    </xdr:from>
    <xdr:to>
      <xdr:col>7</xdr:col>
      <xdr:colOff>910633</xdr:colOff>
      <xdr:row>6</xdr:row>
      <xdr:rowOff>235370</xdr:rowOff>
    </xdr:to>
    <xdr:sp macro="" textlink="">
      <xdr:nvSpPr>
        <xdr:cNvPr id="9" name="テキスト ボックス 8">
          <a:hlinkClick xmlns:r="http://schemas.openxmlformats.org/officeDocument/2006/relationships" r:id="rId5"/>
          <a:extLst>
            <a:ext uri="{FF2B5EF4-FFF2-40B4-BE49-F238E27FC236}">
              <a16:creationId xmlns:a16="http://schemas.microsoft.com/office/drawing/2014/main" id="{20310B0F-2F21-447F-A1C3-77C5A0848705}"/>
            </a:ext>
          </a:extLst>
        </xdr:cNvPr>
        <xdr:cNvSpPr txBox="1"/>
      </xdr:nvSpPr>
      <xdr:spPr>
        <a:xfrm>
          <a:off x="3946073" y="2230525"/>
          <a:ext cx="3778598" cy="35992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参考：入力例（２）世帯主が国保に加入しない場合</a:t>
          </a:r>
          <a:endParaRPr kumimoji="1" lang="en-US" altLang="ja-JP" sz="1200" b="1"/>
        </a:p>
      </xdr:txBody>
    </xdr:sp>
    <xdr:clientData/>
  </xdr:twoCellAnchor>
  <xdr:twoCellAnchor>
    <xdr:from>
      <xdr:col>8</xdr:col>
      <xdr:colOff>711759</xdr:colOff>
      <xdr:row>5</xdr:row>
      <xdr:rowOff>293077</xdr:rowOff>
    </xdr:from>
    <xdr:to>
      <xdr:col>10</xdr:col>
      <xdr:colOff>1088571</xdr:colOff>
      <xdr:row>6</xdr:row>
      <xdr:rowOff>303545</xdr:rowOff>
    </xdr:to>
    <xdr:sp macro="" textlink="">
      <xdr:nvSpPr>
        <xdr:cNvPr id="10" name="テキスト ボックス 9">
          <a:extLst>
            <a:ext uri="{FF2B5EF4-FFF2-40B4-BE49-F238E27FC236}">
              <a16:creationId xmlns:a16="http://schemas.microsoft.com/office/drawing/2014/main" id="{2F66D6F0-CB2B-4216-8922-275FF9A6E586}"/>
            </a:ext>
          </a:extLst>
        </xdr:cNvPr>
        <xdr:cNvSpPr txBox="1"/>
      </xdr:nvSpPr>
      <xdr:spPr>
        <a:xfrm>
          <a:off x="8593435" y="2166676"/>
          <a:ext cx="2564422" cy="49195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入力例を参考にしてください</a:t>
          </a:r>
          <a:endParaRPr kumimoji="1" lang="en-US" altLang="ja-JP" sz="1100"/>
        </a:p>
        <a:p>
          <a:r>
            <a:rPr kumimoji="1" lang="ja-JP" altLang="en-US" sz="1100"/>
            <a:t>クリックで入力例のシートに移動します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421823</xdr:colOff>
      <xdr:row>4</xdr:row>
      <xdr:rowOff>272142</xdr:rowOff>
    </xdr:from>
    <xdr:to>
      <xdr:col>9</xdr:col>
      <xdr:colOff>898073</xdr:colOff>
      <xdr:row>8</xdr:row>
      <xdr:rowOff>217713</xdr:rowOff>
    </xdr:to>
    <xdr:sp macro="" textlink="">
      <xdr:nvSpPr>
        <xdr:cNvPr id="7" name="吹き出し: 角を丸めた四角形 6">
          <a:extLst>
            <a:ext uri="{FF2B5EF4-FFF2-40B4-BE49-F238E27FC236}">
              <a16:creationId xmlns:a16="http://schemas.microsoft.com/office/drawing/2014/main" id="{90192435-7F2B-46A6-8C39-20935A736ACB}"/>
            </a:ext>
          </a:extLst>
        </xdr:cNvPr>
        <xdr:cNvSpPr/>
      </xdr:nvSpPr>
      <xdr:spPr>
        <a:xfrm>
          <a:off x="1891394" y="1646463"/>
          <a:ext cx="7905750" cy="1660071"/>
        </a:xfrm>
        <a:prstGeom prst="wedgeRoundRectCallout">
          <a:avLst>
            <a:gd name="adj1" fmla="val -21184"/>
            <a:gd name="adj2" fmla="val 91502"/>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収入</a:t>
          </a:r>
          <a:r>
            <a:rPr kumimoji="1" lang="ja-JP" altLang="en-US" sz="2000" b="0" u="sng">
              <a:solidFill>
                <a:sysClr val="windowText" lastClr="000000"/>
              </a:solidFill>
              <a:latin typeface="Meiryo UI" panose="020B0604030504040204" pitchFamily="50" charset="-128"/>
              <a:ea typeface="Meiryo UI" panose="020B0604030504040204" pitchFamily="50" charset="-128"/>
            </a:rPr>
            <a:t>と</a:t>
          </a:r>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所得</a:t>
          </a:r>
          <a:r>
            <a:rPr kumimoji="1" lang="ja-JP" altLang="en-US" sz="2000" b="0" u="sng">
              <a:solidFill>
                <a:sysClr val="windowText" lastClr="000000"/>
              </a:solidFill>
              <a:latin typeface="Meiryo UI" panose="020B0604030504040204" pitchFamily="50" charset="-128"/>
              <a:ea typeface="Meiryo UI" panose="020B0604030504040204" pitchFamily="50" charset="-128"/>
            </a:rPr>
            <a:t>の</a:t>
          </a:r>
          <a:r>
            <a:rPr kumimoji="1" lang="ja-JP" altLang="en-US" sz="2000" b="1" u="sng">
              <a:solidFill>
                <a:sysClr val="windowText" lastClr="000000"/>
              </a:solidFill>
              <a:latin typeface="Meiryo UI" panose="020B0604030504040204" pitchFamily="50" charset="-128"/>
              <a:ea typeface="Meiryo UI" panose="020B0604030504040204" pitchFamily="50" charset="-128"/>
            </a:rPr>
            <a:t>違いに注意しましょう。　</a:t>
          </a:r>
          <a:r>
            <a:rPr kumimoji="1" lang="ja-JP" altLang="en-US" sz="2000" b="0" u="sng">
              <a:solidFill>
                <a:sysClr val="windowText" lastClr="000000"/>
              </a:solidFill>
              <a:latin typeface="Meiryo UI" panose="020B0604030504040204" pitchFamily="50" charset="-128"/>
              <a:ea typeface="Meiryo UI" panose="020B0604030504040204" pitchFamily="50" charset="-128"/>
            </a:rPr>
            <a:t>ここで入力するのは</a:t>
          </a:r>
          <a:r>
            <a:rPr kumimoji="1" lang="ja-JP" altLang="en-US" sz="2000" b="1" u="sng">
              <a:ln>
                <a:solidFill>
                  <a:sysClr val="windowText" lastClr="000000"/>
                </a:solidFill>
              </a:ln>
              <a:solidFill>
                <a:srgbClr val="FF0000"/>
              </a:solidFill>
              <a:latin typeface="Meiryo UI" panose="020B0604030504040204" pitchFamily="50" charset="-128"/>
              <a:ea typeface="Meiryo UI" panose="020B0604030504040204" pitchFamily="50" charset="-128"/>
            </a:rPr>
            <a:t>所得</a:t>
          </a:r>
          <a:r>
            <a:rPr kumimoji="1" lang="ja-JP" altLang="en-US" sz="2000" b="0" u="sng">
              <a:solidFill>
                <a:sysClr val="windowText" lastClr="000000"/>
              </a:solidFill>
              <a:latin typeface="Meiryo UI" panose="020B0604030504040204" pitchFamily="50" charset="-128"/>
              <a:ea typeface="Meiryo UI" panose="020B0604030504040204" pitchFamily="50" charset="-128"/>
            </a:rPr>
            <a:t>です。</a:t>
          </a:r>
          <a:endParaRPr kumimoji="1" lang="en-US" altLang="ja-JP" sz="2000" b="0" u="sng">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20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b="1" u="sng">
              <a:solidFill>
                <a:sysClr val="windowText" lastClr="000000"/>
              </a:solidFill>
              <a:latin typeface="Meiryo UI" panose="020B0604030504040204" pitchFamily="50" charset="-128"/>
              <a:ea typeface="Meiryo UI" panose="020B0604030504040204" pitchFamily="50" charset="-128"/>
            </a:rPr>
            <a:t>詳しくは、　　　　　　　　　　　　　　←をクリックしてください</a:t>
          </a:r>
          <a:endParaRPr kumimoji="1" lang="en-US" altLang="ja-JP" sz="1800" b="1"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628052</xdr:colOff>
      <xdr:row>6</xdr:row>
      <xdr:rowOff>322037</xdr:rowOff>
    </xdr:from>
    <xdr:to>
      <xdr:col>5</xdr:col>
      <xdr:colOff>141379</xdr:colOff>
      <xdr:row>7</xdr:row>
      <xdr:rowOff>292648</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6D0D9D3-342A-4EEB-9F8B-59F0E65D8635}"/>
            </a:ext>
          </a:extLst>
        </xdr:cNvPr>
        <xdr:cNvSpPr txBox="1"/>
      </xdr:nvSpPr>
      <xdr:spPr>
        <a:xfrm>
          <a:off x="3158981" y="2648858"/>
          <a:ext cx="1636041"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10</xdr:col>
      <xdr:colOff>421822</xdr:colOff>
      <xdr:row>1</xdr:row>
      <xdr:rowOff>176893</xdr:rowOff>
    </xdr:from>
    <xdr:to>
      <xdr:col>11</xdr:col>
      <xdr:colOff>535408</xdr:colOff>
      <xdr:row>2</xdr:row>
      <xdr:rowOff>290530</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CA9E7439-5A5A-4859-BA1B-04D30EB6D856}"/>
            </a:ext>
          </a:extLst>
        </xdr:cNvPr>
        <xdr:cNvSpPr/>
      </xdr:nvSpPr>
      <xdr:spPr>
        <a:xfrm>
          <a:off x="10450286" y="476250"/>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0</xdr:col>
      <xdr:colOff>326571</xdr:colOff>
      <xdr:row>0</xdr:row>
      <xdr:rowOff>285750</xdr:rowOff>
    </xdr:from>
    <xdr:to>
      <xdr:col>10</xdr:col>
      <xdr:colOff>176894</xdr:colOff>
      <xdr:row>4</xdr:row>
      <xdr:rowOff>299358</xdr:rowOff>
    </xdr:to>
    <xdr:sp macro="" textlink="">
      <xdr:nvSpPr>
        <xdr:cNvPr id="10" name="正方形/長方形 9">
          <a:extLst>
            <a:ext uri="{FF2B5EF4-FFF2-40B4-BE49-F238E27FC236}">
              <a16:creationId xmlns:a16="http://schemas.microsoft.com/office/drawing/2014/main" id="{CEDF8535-E409-4B98-9C97-A60BC70C51DC}"/>
            </a:ext>
          </a:extLst>
        </xdr:cNvPr>
        <xdr:cNvSpPr/>
      </xdr:nvSpPr>
      <xdr:spPr>
        <a:xfrm>
          <a:off x="326571" y="285750"/>
          <a:ext cx="9878787" cy="1387929"/>
        </a:xfrm>
        <a:prstGeom prst="rect">
          <a:avLst/>
        </a:prstGeom>
        <a:solidFill>
          <a:schemeClr val="accent4">
            <a:lumMod val="40000"/>
            <a:lumOff val="60000"/>
          </a:schemeClr>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◎入力例　 </a:t>
          </a:r>
          <a:r>
            <a:rPr kumimoji="1" lang="en-US" altLang="ja-JP" sz="2000">
              <a:solidFill>
                <a:sysClr val="windowText" lastClr="000000"/>
              </a:solidFill>
              <a:latin typeface="Meiryo UI" panose="020B0604030504040204" pitchFamily="50" charset="-128"/>
              <a:ea typeface="Meiryo UI" panose="020B0604030504040204" pitchFamily="50" charset="-128"/>
            </a:rPr>
            <a:t>(</a:t>
          </a:r>
          <a:r>
            <a:rPr kumimoji="1" lang="ja-JP" altLang="en-US" sz="2000">
              <a:solidFill>
                <a:sysClr val="windowText" lastClr="000000"/>
              </a:solidFill>
              <a:latin typeface="Meiryo UI" panose="020B0604030504040204" pitchFamily="50" charset="-128"/>
              <a:ea typeface="Meiryo UI" panose="020B0604030504040204" pitchFamily="50" charset="-128"/>
            </a:rPr>
            <a:t>世帯主が国保に</a:t>
          </a:r>
          <a:r>
            <a:rPr kumimoji="1" lang="ja-JP" altLang="en-US" sz="2000" u="sng">
              <a:solidFill>
                <a:sysClr val="windowText" lastClr="000000"/>
              </a:solidFill>
              <a:latin typeface="Meiryo UI" panose="020B0604030504040204" pitchFamily="50" charset="-128"/>
              <a:ea typeface="Meiryo UI" panose="020B0604030504040204" pitchFamily="50" charset="-128"/>
            </a:rPr>
            <a:t>加入する</a:t>
          </a:r>
          <a:r>
            <a:rPr kumimoji="1" lang="ja-JP" altLang="en-US" sz="2000">
              <a:solidFill>
                <a:sysClr val="windowText" lastClr="000000"/>
              </a:solidFill>
              <a:latin typeface="Meiryo UI" panose="020B0604030504040204" pitchFamily="50" charset="-128"/>
              <a:ea typeface="Meiryo UI" panose="020B0604030504040204" pitchFamily="50" charset="-128"/>
            </a:rPr>
            <a:t>場合）</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具体的事例：</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Ａ</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が令和</a:t>
          </a:r>
          <a:r>
            <a:rPr kumimoji="1" lang="en-US" altLang="ja-JP" sz="1600" u="sng">
              <a:solidFill>
                <a:sysClr val="windowText" lastClr="000000"/>
              </a:solidFill>
              <a:latin typeface="Meiryo UI" panose="020B0604030504040204" pitchFamily="50" charset="-128"/>
              <a:ea typeface="Meiryo UI" panose="020B0604030504040204" pitchFamily="50" charset="-128"/>
            </a:rPr>
            <a:t>7</a:t>
          </a:r>
          <a:r>
            <a:rPr kumimoji="1" lang="ja-JP" altLang="en-US" sz="1600" u="sng">
              <a:solidFill>
                <a:sysClr val="windowText" lastClr="000000"/>
              </a:solidFill>
              <a:latin typeface="Meiryo UI" panose="020B0604030504040204" pitchFamily="50" charset="-128"/>
              <a:ea typeface="Meiryo UI" panose="020B0604030504040204" pitchFamily="50" charset="-128"/>
            </a:rPr>
            <a:t>年</a:t>
          </a:r>
          <a:r>
            <a:rPr kumimoji="1" lang="en-US" altLang="ja-JP" sz="1600" u="sng">
              <a:solidFill>
                <a:sysClr val="windowText" lastClr="000000"/>
              </a:solidFill>
              <a:latin typeface="Meiryo UI" panose="020B0604030504040204" pitchFamily="50" charset="-128"/>
              <a:ea typeface="Meiryo UI" panose="020B0604030504040204" pitchFamily="50" charset="-128"/>
            </a:rPr>
            <a:t>11</a:t>
          </a:r>
          <a:r>
            <a:rPr kumimoji="1" lang="ja-JP" altLang="en-US" sz="1600" u="sng">
              <a:solidFill>
                <a:sysClr val="windowText" lastClr="000000"/>
              </a:solidFill>
              <a:latin typeface="Meiryo UI" panose="020B0604030504040204" pitchFamily="50" charset="-128"/>
              <a:ea typeface="Meiryo UI" panose="020B0604030504040204" pitchFamily="50" charset="-128"/>
            </a:rPr>
            <a:t>月末で定年退職し、</a:t>
          </a:r>
          <a:r>
            <a:rPr kumimoji="1" lang="ja-JP" altLang="en-US" sz="1600" b="1"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Ａ</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と世帯員</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Ｂ</a:t>
          </a:r>
          <a:r>
            <a:rPr kumimoji="1" lang="en-US" altLang="ja-JP" sz="1600" b="1" u="sng">
              <a:solidFill>
                <a:sysClr val="windowText" lastClr="000000"/>
              </a:solidFill>
              <a:latin typeface="Meiryo UI" panose="020B0604030504040204" pitchFamily="50" charset="-128"/>
              <a:ea typeface="Meiryo UI" panose="020B0604030504040204" pitchFamily="50" charset="-128"/>
            </a:rPr>
            <a:t>)</a:t>
          </a:r>
          <a:r>
            <a:rPr kumimoji="1" lang="ja-JP" altLang="en-US" sz="1600" b="1" u="sng">
              <a:solidFill>
                <a:sysClr val="windowText" lastClr="000000"/>
              </a:solidFill>
              <a:latin typeface="Meiryo UI" panose="020B0604030504040204" pitchFamily="50" charset="-128"/>
              <a:ea typeface="Meiryo UI" panose="020B0604030504040204" pitchFamily="50" charset="-128"/>
            </a:rPr>
            <a:t>の</a:t>
          </a:r>
          <a:r>
            <a:rPr kumimoji="1" lang="en-US" altLang="ja-JP" sz="1600" b="1" u="sng">
              <a:solidFill>
                <a:sysClr val="windowText" lastClr="000000"/>
              </a:solidFill>
              <a:latin typeface="Meiryo UI" panose="020B0604030504040204" pitchFamily="50" charset="-128"/>
              <a:ea typeface="Meiryo UI" panose="020B0604030504040204" pitchFamily="50" charset="-128"/>
            </a:rPr>
            <a:t>2</a:t>
          </a:r>
          <a:r>
            <a:rPr kumimoji="1" lang="ja-JP" altLang="en-US" sz="1600" b="1" u="sng">
              <a:solidFill>
                <a:sysClr val="windowText" lastClr="000000"/>
              </a:solidFill>
              <a:latin typeface="Meiryo UI" panose="020B0604030504040204" pitchFamily="50" charset="-128"/>
              <a:ea typeface="Meiryo UI" panose="020B0604030504040204" pitchFamily="50" charset="-128"/>
            </a:rPr>
            <a:t>人が国保加入する場合</a:t>
          </a:r>
          <a:endParaRPr kumimoji="1" lang="en-US" altLang="ja-JP" sz="16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a:t>
          </a:r>
          <a:r>
            <a:rPr kumimoji="1" lang="ja-JP" altLang="en-US" sz="1600" u="sng">
              <a:solidFill>
                <a:sysClr val="windowText" lastClr="000000"/>
              </a:solidFill>
              <a:latin typeface="Meiryo UI" panose="020B0604030504040204" pitchFamily="50" charset="-128"/>
              <a:ea typeface="Meiryo UI" panose="020B0604030504040204" pitchFamily="50" charset="-128"/>
            </a:rPr>
            <a:t>　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300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50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655266</xdr:colOff>
      <xdr:row>19</xdr:row>
      <xdr:rowOff>9072</xdr:rowOff>
    </xdr:from>
    <xdr:to>
      <xdr:col>10</xdr:col>
      <xdr:colOff>1161914</xdr:colOff>
      <xdr:row>19</xdr:row>
      <xdr:rowOff>360683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AE617757-3244-48CB-A4EF-0A5EC290655C}"/>
            </a:ext>
          </a:extLst>
        </xdr:cNvPr>
        <xdr:cNvSpPr txBox="1"/>
      </xdr:nvSpPr>
      <xdr:spPr>
        <a:xfrm>
          <a:off x="9589716" y="7752897"/>
          <a:ext cx="1630598" cy="351611"/>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（給与）源泉徴収票</a:t>
          </a:r>
          <a:endParaRPr kumimoji="1" lang="en-US" altLang="ja-JP" sz="1200" b="1"/>
        </a:p>
      </xdr:txBody>
    </xdr:sp>
    <xdr:clientData/>
  </xdr:twoCellAnchor>
  <xdr:twoCellAnchor>
    <xdr:from>
      <xdr:col>9</xdr:col>
      <xdr:colOff>655543</xdr:colOff>
      <xdr:row>21</xdr:row>
      <xdr:rowOff>11365</xdr:rowOff>
    </xdr:from>
    <xdr:to>
      <xdr:col>10</xdr:col>
      <xdr:colOff>1161915</xdr:colOff>
      <xdr:row>21</xdr:row>
      <xdr:rowOff>366059</xdr:rowOff>
    </xdr:to>
    <xdr:sp macro="" textlink="">
      <xdr:nvSpPr>
        <xdr:cNvPr id="3" name="テキスト ボックス 2">
          <a:hlinkClick xmlns:r="http://schemas.openxmlformats.org/officeDocument/2006/relationships" r:id="rId2"/>
          <a:extLst>
            <a:ext uri="{FF2B5EF4-FFF2-40B4-BE49-F238E27FC236}">
              <a16:creationId xmlns:a16="http://schemas.microsoft.com/office/drawing/2014/main" id="{00BE38B5-3511-44C4-954D-E4A56351E4E7}"/>
            </a:ext>
          </a:extLst>
        </xdr:cNvPr>
        <xdr:cNvSpPr txBox="1"/>
      </xdr:nvSpPr>
      <xdr:spPr>
        <a:xfrm>
          <a:off x="9589993" y="8517190"/>
          <a:ext cx="1630322" cy="354694"/>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確定申告書</a:t>
          </a:r>
          <a:endParaRPr kumimoji="1" lang="en-US" altLang="ja-JP" sz="1200" b="1"/>
        </a:p>
      </xdr:txBody>
    </xdr:sp>
    <xdr:clientData/>
  </xdr:twoCellAnchor>
  <xdr:twoCellAnchor>
    <xdr:from>
      <xdr:col>9</xdr:col>
      <xdr:colOff>655544</xdr:colOff>
      <xdr:row>20</xdr:row>
      <xdr:rowOff>6754</xdr:rowOff>
    </xdr:from>
    <xdr:to>
      <xdr:col>10</xdr:col>
      <xdr:colOff>1161143</xdr:colOff>
      <xdr:row>20</xdr:row>
      <xdr:rowOff>364191</xdr:rowOff>
    </xdr:to>
    <xdr:sp macro="" textlink="">
      <xdr:nvSpPr>
        <xdr:cNvPr id="4" name="テキスト ボックス 3">
          <a:hlinkClick xmlns:r="http://schemas.openxmlformats.org/officeDocument/2006/relationships" r:id="rId3"/>
          <a:extLst>
            <a:ext uri="{FF2B5EF4-FFF2-40B4-BE49-F238E27FC236}">
              <a16:creationId xmlns:a16="http://schemas.microsoft.com/office/drawing/2014/main" id="{ADE29683-D540-4BE8-8E92-8837F7B4BB08}"/>
            </a:ext>
          </a:extLst>
        </xdr:cNvPr>
        <xdr:cNvSpPr txBox="1"/>
      </xdr:nvSpPr>
      <xdr:spPr>
        <a:xfrm>
          <a:off x="9589994" y="8131579"/>
          <a:ext cx="1629549" cy="357437"/>
        </a:xfrm>
        <a:prstGeom prst="bevel">
          <a:avLst/>
        </a:prstGeom>
        <a:solidFill>
          <a:schemeClr val="accent4">
            <a:lumMod val="40000"/>
            <a:lumOff val="60000"/>
          </a:schemeClr>
        </a:solidFill>
        <a:ln w="9525" cmpd="sng">
          <a:noFill/>
        </a:ln>
        <a:effectLst>
          <a:outerShdw blurRad="107950" dist="12700" dir="5400000" algn="ctr">
            <a:srgbClr val="000000"/>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200" b="1"/>
            <a:t>（年金）源泉徴収票</a:t>
          </a:r>
          <a:endParaRPr kumimoji="1" lang="en-US" altLang="ja-JP" sz="1200" b="1"/>
        </a:p>
      </xdr:txBody>
    </xdr:sp>
    <xdr:clientData/>
  </xdr:twoCellAnchor>
  <xdr:twoCellAnchor>
    <xdr:from>
      <xdr:col>2</xdr:col>
      <xdr:colOff>108857</xdr:colOff>
      <xdr:row>5</xdr:row>
      <xdr:rowOff>81643</xdr:rowOff>
    </xdr:from>
    <xdr:to>
      <xdr:col>9</xdr:col>
      <xdr:colOff>625928</xdr:colOff>
      <xdr:row>9</xdr:row>
      <xdr:rowOff>258536</xdr:rowOff>
    </xdr:to>
    <xdr:sp macro="" textlink="">
      <xdr:nvSpPr>
        <xdr:cNvPr id="6" name="吹き出し: 角を丸めた四角形 5">
          <a:extLst>
            <a:ext uri="{FF2B5EF4-FFF2-40B4-BE49-F238E27FC236}">
              <a16:creationId xmlns:a16="http://schemas.microsoft.com/office/drawing/2014/main" id="{27DD20ED-F94A-415F-A32F-4DD1302DF9DB}"/>
            </a:ext>
          </a:extLst>
        </xdr:cNvPr>
        <xdr:cNvSpPr/>
      </xdr:nvSpPr>
      <xdr:spPr>
        <a:xfrm>
          <a:off x="1578428" y="1932214"/>
          <a:ext cx="7946571" cy="1796143"/>
        </a:xfrm>
        <a:prstGeom prst="wedgeRoundRectCallout">
          <a:avLst>
            <a:gd name="adj1" fmla="val -42579"/>
            <a:gd name="adj2" fmla="val 77705"/>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Meiryo UI" panose="020B0604030504040204" pitchFamily="50" charset="-128"/>
              <a:ea typeface="Meiryo UI" panose="020B0604030504040204" pitchFamily="50" charset="-128"/>
            </a:rPr>
            <a:t>世帯員だけ国保に加入する場合、</a:t>
          </a:r>
          <a:r>
            <a:rPr kumimoji="1" lang="ja-JP" altLang="en-US" sz="1800" u="sng">
              <a:solidFill>
                <a:sysClr val="windowText" lastClr="000000"/>
              </a:solidFill>
              <a:latin typeface="Meiryo UI" panose="020B0604030504040204" pitchFamily="50" charset="-128"/>
              <a:ea typeface="Meiryo UI" panose="020B0604030504040204" pitchFamily="50" charset="-128"/>
            </a:rPr>
            <a:t>世帯主は「</a:t>
          </a:r>
          <a:r>
            <a:rPr kumimoji="1" lang="ja-JP" altLang="en-US" sz="1800" b="1" u="sng">
              <a:solidFill>
                <a:sysClr val="windowText" lastClr="000000"/>
              </a:solidFill>
              <a:latin typeface="Meiryo UI" panose="020B0604030504040204" pitchFamily="50" charset="-128"/>
              <a:ea typeface="Meiryo UI" panose="020B0604030504040204" pitchFamily="50" charset="-128"/>
            </a:rPr>
            <a:t>擬主</a:t>
          </a:r>
          <a:r>
            <a:rPr kumimoji="1" lang="ja-JP" altLang="en-US" sz="1800" u="sng">
              <a:solidFill>
                <a:sysClr val="windowText" lastClr="000000"/>
              </a:solidFill>
              <a:latin typeface="Meiryo UI" panose="020B0604030504040204" pitchFamily="50" charset="-128"/>
              <a:ea typeface="Meiryo UI" panose="020B0604030504040204" pitchFamily="50" charset="-128"/>
            </a:rPr>
            <a:t>」という取り扱い区分</a:t>
          </a:r>
          <a:r>
            <a:rPr kumimoji="1" lang="ja-JP" altLang="en-US" sz="1800">
              <a:solidFill>
                <a:sysClr val="windowText" lastClr="000000"/>
              </a:solidFill>
              <a:latin typeface="Meiryo UI" panose="020B0604030504040204" pitchFamily="50" charset="-128"/>
              <a:ea typeface="Meiryo UI" panose="020B0604030504040204" pitchFamily="50" charset="-128"/>
            </a:rPr>
            <a:t>になります</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擬主の所得は</a:t>
          </a:r>
          <a:r>
            <a:rPr kumimoji="1" lang="en-US" altLang="ja-JP" sz="1800">
              <a:solidFill>
                <a:sysClr val="windowText" lastClr="000000"/>
              </a:solidFill>
              <a:latin typeface="Meiryo UI" panose="020B0604030504040204" pitchFamily="50" charset="-128"/>
              <a:ea typeface="Meiryo UI" panose="020B0604030504040204" pitchFamily="50" charset="-128"/>
            </a:rPr>
            <a:t>※</a:t>
          </a:r>
          <a:r>
            <a:rPr kumimoji="1" lang="ja-JP" altLang="en-US" sz="1800" u="sng">
              <a:solidFill>
                <a:sysClr val="windowText" lastClr="000000"/>
              </a:solidFill>
              <a:latin typeface="Meiryo UI" panose="020B0604030504040204" pitchFamily="50" charset="-128"/>
              <a:ea typeface="Meiryo UI" panose="020B0604030504040204" pitchFamily="50" charset="-128"/>
            </a:rPr>
            <a:t>軽減適用世帯</a:t>
          </a:r>
          <a:r>
            <a:rPr kumimoji="1" lang="ja-JP" altLang="en-US" sz="1800">
              <a:solidFill>
                <a:sysClr val="windowText" lastClr="000000"/>
              </a:solidFill>
              <a:latin typeface="Meiryo UI" panose="020B0604030504040204" pitchFamily="50" charset="-128"/>
              <a:ea typeface="Meiryo UI" panose="020B0604030504040204" pitchFamily="50" charset="-128"/>
            </a:rPr>
            <a:t>の判定に使用します。</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軽減適用世帯：世帯主及び加入者の所得が一定以下であり、</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均等割と世帯別平等割が</a:t>
          </a:r>
          <a:r>
            <a:rPr kumimoji="1" lang="en-US" altLang="ja-JP" sz="1600">
              <a:solidFill>
                <a:sysClr val="windowText" lastClr="000000"/>
              </a:solidFill>
              <a:latin typeface="Meiryo UI" panose="020B0604030504040204" pitchFamily="50" charset="-128"/>
              <a:ea typeface="Meiryo UI" panose="020B0604030504040204" pitchFamily="50" charset="-128"/>
            </a:rPr>
            <a:t>2</a:t>
          </a:r>
          <a:r>
            <a:rPr kumimoji="1" lang="ja-JP" altLang="en-US" sz="1600">
              <a:solidFill>
                <a:sysClr val="windowText" lastClr="000000"/>
              </a:solidFill>
              <a:latin typeface="Meiryo UI" panose="020B0604030504040204" pitchFamily="50" charset="-128"/>
              <a:ea typeface="Meiryo UI" panose="020B0604030504040204" pitchFamily="50" charset="-128"/>
            </a:rPr>
            <a:t>割～７割軽減される世帯のこと</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435429</xdr:colOff>
      <xdr:row>1</xdr:row>
      <xdr:rowOff>163286</xdr:rowOff>
    </xdr:from>
    <xdr:to>
      <xdr:col>11</xdr:col>
      <xdr:colOff>549015</xdr:colOff>
      <xdr:row>2</xdr:row>
      <xdr:rowOff>276923</xdr:rowOff>
    </xdr:to>
    <xdr:sp macro="" textlink="">
      <xdr:nvSpPr>
        <xdr:cNvPr id="7" name="四角形: 角度付き 6">
          <a:hlinkClick xmlns:r="http://schemas.openxmlformats.org/officeDocument/2006/relationships" r:id="rId4"/>
          <a:extLst>
            <a:ext uri="{FF2B5EF4-FFF2-40B4-BE49-F238E27FC236}">
              <a16:creationId xmlns:a16="http://schemas.microsoft.com/office/drawing/2014/main" id="{FE596064-D5B7-48C6-8191-C0099DCC341A}"/>
            </a:ext>
          </a:extLst>
        </xdr:cNvPr>
        <xdr:cNvSpPr/>
      </xdr:nvSpPr>
      <xdr:spPr>
        <a:xfrm>
          <a:off x="10463893" y="462643"/>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0</xdr:col>
      <xdr:colOff>231322</xdr:colOff>
      <xdr:row>0</xdr:row>
      <xdr:rowOff>285750</xdr:rowOff>
    </xdr:from>
    <xdr:to>
      <xdr:col>10</xdr:col>
      <xdr:colOff>258537</xdr:colOff>
      <xdr:row>5</xdr:row>
      <xdr:rowOff>54429</xdr:rowOff>
    </xdr:to>
    <xdr:sp macro="" textlink="">
      <xdr:nvSpPr>
        <xdr:cNvPr id="8" name="正方形/長方形 7">
          <a:extLst>
            <a:ext uri="{FF2B5EF4-FFF2-40B4-BE49-F238E27FC236}">
              <a16:creationId xmlns:a16="http://schemas.microsoft.com/office/drawing/2014/main" id="{FD4860F6-510D-4D8B-A30E-C4DDC3781F2A}"/>
            </a:ext>
          </a:extLst>
        </xdr:cNvPr>
        <xdr:cNvSpPr/>
      </xdr:nvSpPr>
      <xdr:spPr>
        <a:xfrm>
          <a:off x="231322" y="285750"/>
          <a:ext cx="10055679" cy="1619250"/>
        </a:xfrm>
        <a:prstGeom prst="rect">
          <a:avLst/>
        </a:prstGeom>
        <a:solidFill>
          <a:schemeClr val="accent4">
            <a:lumMod val="40000"/>
            <a:lumOff val="60000"/>
          </a:schemeClr>
        </a:solid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◎入力例　 </a:t>
          </a:r>
          <a:r>
            <a:rPr kumimoji="1" lang="en-US" altLang="ja-JP" sz="2000">
              <a:solidFill>
                <a:sysClr val="windowText" lastClr="000000"/>
              </a:solidFill>
              <a:latin typeface="Meiryo UI" panose="020B0604030504040204" pitchFamily="50" charset="-128"/>
              <a:ea typeface="Meiryo UI" panose="020B0604030504040204" pitchFamily="50" charset="-128"/>
            </a:rPr>
            <a:t>(</a:t>
          </a:r>
          <a:r>
            <a:rPr kumimoji="1" lang="ja-JP" altLang="en-US" sz="2000">
              <a:solidFill>
                <a:sysClr val="windowText" lastClr="000000"/>
              </a:solidFill>
              <a:latin typeface="Meiryo UI" panose="020B0604030504040204" pitchFamily="50" charset="-128"/>
              <a:ea typeface="Meiryo UI" panose="020B0604030504040204" pitchFamily="50" charset="-128"/>
            </a:rPr>
            <a:t>世帯主が国保に</a:t>
          </a:r>
          <a:r>
            <a:rPr kumimoji="1" lang="ja-JP" altLang="en-US" sz="2000" u="sng">
              <a:solidFill>
                <a:sysClr val="windowText" lastClr="000000"/>
              </a:solidFill>
              <a:latin typeface="Meiryo UI" panose="020B0604030504040204" pitchFamily="50" charset="-128"/>
              <a:ea typeface="Meiryo UI" panose="020B0604030504040204" pitchFamily="50" charset="-128"/>
            </a:rPr>
            <a:t>加入しない</a:t>
          </a:r>
          <a:r>
            <a:rPr kumimoji="1" lang="ja-JP" altLang="en-US" sz="2000">
              <a:solidFill>
                <a:sysClr val="windowText" lastClr="000000"/>
              </a:solidFill>
              <a:latin typeface="Meiryo UI" panose="020B0604030504040204" pitchFamily="50" charset="-128"/>
              <a:ea typeface="Meiryo UI" panose="020B0604030504040204" pitchFamily="50" charset="-128"/>
            </a:rPr>
            <a:t>場合）</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具体的事例：</a:t>
          </a:r>
          <a:r>
            <a:rPr kumimoji="1" lang="ja-JP" altLang="en-US" sz="1600" u="sng">
              <a:solidFill>
                <a:sysClr val="windowText" lastClr="000000"/>
              </a:solidFill>
              <a:latin typeface="Meiryo UI" panose="020B0604030504040204" pitchFamily="50" charset="-128"/>
              <a:ea typeface="Meiryo UI" panose="020B0604030504040204" pitchFamily="50" charset="-128"/>
            </a:rPr>
            <a:t>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は社会保険の被扶養者であったが、規定収入を超過したため、</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b="1" u="sng">
              <a:solidFill>
                <a:sysClr val="windowText" lastClr="000000"/>
              </a:solidFill>
              <a:latin typeface="Meiryo UI" panose="020B0604030504040204" pitchFamily="50" charset="-128"/>
              <a:ea typeface="Meiryo UI" panose="020B0604030504040204" pitchFamily="50" charset="-128"/>
            </a:rPr>
            <a:t>世帯員</a:t>
          </a:r>
          <a:r>
            <a:rPr kumimoji="1" lang="en-US" altLang="ja-JP" sz="1600" b="1" u="sng">
              <a:solidFill>
                <a:sysClr val="windowText" lastClr="000000"/>
              </a:solidFill>
              <a:latin typeface="Meiryo UI" panose="020B0604030504040204" pitchFamily="50" charset="-128"/>
              <a:ea typeface="Meiryo UI" panose="020B0604030504040204" pitchFamily="50" charset="-128"/>
            </a:rPr>
            <a:t>(B)</a:t>
          </a:r>
          <a:r>
            <a:rPr kumimoji="1" lang="ja-JP" altLang="en-US" sz="1600" b="1" u="sng">
              <a:solidFill>
                <a:sysClr val="windowText" lastClr="000000"/>
              </a:solidFill>
              <a:latin typeface="Meiryo UI" panose="020B0604030504040204" pitchFamily="50" charset="-128"/>
              <a:ea typeface="Meiryo UI" panose="020B0604030504040204" pitchFamily="50" charset="-128"/>
            </a:rPr>
            <a:t>のみ国保に加入する</a:t>
          </a:r>
          <a:r>
            <a:rPr kumimoji="1" lang="ja-JP" altLang="en-US" sz="1600" u="sng">
              <a:solidFill>
                <a:sysClr val="windowText" lastClr="000000"/>
              </a:solidFill>
              <a:latin typeface="Meiryo UI" panose="020B0604030504040204" pitchFamily="50" charset="-128"/>
              <a:ea typeface="Meiryo UI" panose="020B0604030504040204" pitchFamily="50" charset="-128"/>
            </a:rPr>
            <a:t>場合</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u="none">
              <a:solidFill>
                <a:sysClr val="windowText" lastClr="000000"/>
              </a:solidFill>
              <a:latin typeface="Meiryo UI" panose="020B0604030504040204" pitchFamily="50" charset="-128"/>
              <a:ea typeface="Meiryo UI" panose="020B0604030504040204" pitchFamily="50" charset="-128"/>
            </a:rPr>
            <a:t>　◆</a:t>
          </a:r>
          <a:r>
            <a:rPr kumimoji="1" lang="ja-JP" altLang="en-US" sz="1600" u="sng">
              <a:solidFill>
                <a:sysClr val="windowText" lastClr="000000"/>
              </a:solidFill>
              <a:latin typeface="Meiryo UI" panose="020B0604030504040204" pitchFamily="50" charset="-128"/>
              <a:ea typeface="Meiryo UI" panose="020B0604030504040204" pitchFamily="50" charset="-128"/>
            </a:rPr>
            <a:t>世帯主</a:t>
          </a:r>
          <a:r>
            <a:rPr kumimoji="1" lang="en-US" altLang="ja-JP" sz="1600" u="sng">
              <a:solidFill>
                <a:sysClr val="windowText" lastClr="000000"/>
              </a:solidFill>
              <a:latin typeface="Meiryo UI" panose="020B0604030504040204" pitchFamily="50" charset="-128"/>
              <a:ea typeface="Meiryo UI" panose="020B0604030504040204" pitchFamily="50" charset="-128"/>
            </a:rPr>
            <a:t>(A)</a:t>
          </a:r>
          <a:r>
            <a:rPr kumimoji="1" lang="ja-JP" altLang="en-US" sz="1600" u="sng">
              <a:solidFill>
                <a:sysClr val="windowText" lastClr="000000"/>
              </a:solidFill>
              <a:latin typeface="Meiryo UI" panose="020B0604030504040204" pitchFamily="50" charset="-128"/>
              <a:ea typeface="Meiryo UI" panose="020B0604030504040204" pitchFamily="50" charset="-128"/>
            </a:rPr>
            <a:t>　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300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世帯員</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Ｂ</a:t>
          </a:r>
          <a:r>
            <a:rPr kumimoji="1" lang="en-US" altLang="ja-JP" sz="1600" u="sng">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令和</a:t>
          </a:r>
          <a:r>
            <a:rPr kumimoji="1" lang="en-US" altLang="ja-JP" sz="1600" u="sng">
              <a:solidFill>
                <a:sysClr val="windowText" lastClr="000000"/>
              </a:solidFill>
              <a:latin typeface="Meiryo UI" panose="020B0604030504040204" pitchFamily="50" charset="-128"/>
              <a:ea typeface="Meiryo UI" panose="020B0604030504040204" pitchFamily="50" charset="-128"/>
            </a:rPr>
            <a:t>6</a:t>
          </a:r>
          <a:r>
            <a:rPr kumimoji="1" lang="ja-JP" altLang="en-US" sz="1600" u="sng">
              <a:solidFill>
                <a:sysClr val="windowText" lastClr="000000"/>
              </a:solidFill>
              <a:latin typeface="Meiryo UI" panose="020B0604030504040204" pitchFamily="50" charset="-128"/>
              <a:ea typeface="Meiryo UI" panose="020B0604030504040204" pitchFamily="50" charset="-128"/>
            </a:rPr>
            <a:t>年中の給与所得</a:t>
          </a:r>
          <a:r>
            <a:rPr kumimoji="1" lang="en-US" altLang="ja-JP" sz="1600" u="sng">
              <a:solidFill>
                <a:sysClr val="windowText" lastClr="000000"/>
              </a:solidFill>
              <a:latin typeface="Meiryo UI" panose="020B0604030504040204" pitchFamily="50" charset="-128"/>
              <a:ea typeface="Meiryo UI" panose="020B0604030504040204" pitchFamily="50" charset="-128"/>
            </a:rPr>
            <a:t>50</a:t>
          </a:r>
          <a:r>
            <a:rPr kumimoji="1" lang="ja-JP" altLang="en-US" sz="1600" u="sng">
              <a:solidFill>
                <a:sysClr val="windowText" lastClr="000000"/>
              </a:solidFill>
              <a:latin typeface="Meiryo UI" panose="020B0604030504040204" pitchFamily="50" charset="-128"/>
              <a:ea typeface="Meiryo UI" panose="020B0604030504040204" pitchFamily="50" charset="-128"/>
            </a:rPr>
            <a:t>万円　</a:t>
          </a:r>
          <a:endParaRPr kumimoji="1" lang="en-US" altLang="ja-JP" sz="16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a:solidFill>
                <a:sysClr val="windowText" lastClr="000000"/>
              </a:solidFill>
              <a:latin typeface="Meiryo UI" panose="020B0604030504040204" pitchFamily="50" charset="-128"/>
              <a:ea typeface="Meiryo UI" panose="020B0604030504040204" pitchFamily="50"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133350</xdr:rowOff>
    </xdr:from>
    <xdr:to>
      <xdr:col>7</xdr:col>
      <xdr:colOff>533400</xdr:colOff>
      <xdr:row>42</xdr:row>
      <xdr:rowOff>29461</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88" t="1886" r="778"/>
        <a:stretch/>
      </xdr:blipFill>
      <xdr:spPr bwMode="auto">
        <a:xfrm>
          <a:off x="85725" y="133350"/>
          <a:ext cx="5248275" cy="7458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247650</xdr:colOff>
      <xdr:row>6</xdr:row>
      <xdr:rowOff>190499</xdr:rowOff>
    </xdr:from>
    <xdr:to>
      <xdr:col>4</xdr:col>
      <xdr:colOff>561975</xdr:colOff>
      <xdr:row>8</xdr:row>
      <xdr:rowOff>57150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2305050" y="1219199"/>
          <a:ext cx="1000125" cy="476251"/>
        </a:xfrm>
        <a:prstGeom prst="round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13</xdr:row>
      <xdr:rowOff>85726</xdr:rowOff>
    </xdr:from>
    <xdr:to>
      <xdr:col>6</xdr:col>
      <xdr:colOff>628650</xdr:colOff>
      <xdr:row>17</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2875" y="2581276"/>
          <a:ext cx="4600575" cy="628649"/>
        </a:xfrm>
        <a:prstGeom prst="wedgeRoundRectCallout">
          <a:avLst>
            <a:gd name="adj1" fmla="val 10280"/>
            <a:gd name="adj2" fmla="val -182019"/>
            <a:gd name="adj3" fmla="val 16667"/>
          </a:avLst>
        </a:prstGeom>
        <a:solidFill>
          <a:schemeClr val="accent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枠内金額が「給与所得金額」です</a:t>
          </a:r>
          <a:endParaRPr kumimoji="1" lang="en-US" altLang="ja-JP" sz="2400"/>
        </a:p>
      </xdr:txBody>
    </xdr:sp>
    <xdr:clientData/>
  </xdr:twoCellAnchor>
  <xdr:twoCellAnchor>
    <xdr:from>
      <xdr:col>9</xdr:col>
      <xdr:colOff>140676</xdr:colOff>
      <xdr:row>0</xdr:row>
      <xdr:rowOff>101356</xdr:rowOff>
    </xdr:from>
    <xdr:to>
      <xdr:col>11</xdr:col>
      <xdr:colOff>229769</xdr:colOff>
      <xdr:row>3</xdr:row>
      <xdr:rowOff>0</xdr:rowOff>
    </xdr:to>
    <xdr:sp macro="" textlink="">
      <xdr:nvSpPr>
        <xdr:cNvPr id="5" name="四角形: 角度付き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6312876" y="101356"/>
          <a:ext cx="1460693" cy="41299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xdr:from>
      <xdr:col>9</xdr:col>
      <xdr:colOff>190500</xdr:colOff>
      <xdr:row>14</xdr:row>
      <xdr:rowOff>123825</xdr:rowOff>
    </xdr:from>
    <xdr:to>
      <xdr:col>11</xdr:col>
      <xdr:colOff>619125</xdr:colOff>
      <xdr:row>19</xdr:row>
      <xdr:rowOff>19050</xdr:rowOff>
    </xdr:to>
    <xdr:sp macro="" textlink="">
      <xdr:nvSpPr>
        <xdr:cNvPr id="6" name="矢印: 下 5">
          <a:extLst>
            <a:ext uri="{FF2B5EF4-FFF2-40B4-BE49-F238E27FC236}">
              <a16:creationId xmlns:a16="http://schemas.microsoft.com/office/drawing/2014/main" id="{31FB6714-4A68-4AC6-BF8F-8E7CAC5AB3AB}"/>
            </a:ext>
          </a:extLst>
        </xdr:cNvPr>
        <xdr:cNvSpPr/>
      </xdr:nvSpPr>
      <xdr:spPr>
        <a:xfrm>
          <a:off x="6362700" y="2657475"/>
          <a:ext cx="1800225" cy="752475"/>
        </a:xfrm>
        <a:prstGeom prst="downArrow">
          <a:avLst>
            <a:gd name="adj1" fmla="val 32011"/>
            <a:gd name="adj2" fmla="val 5000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495300</xdr:colOff>
      <xdr:row>7</xdr:row>
      <xdr:rowOff>38100</xdr:rowOff>
    </xdr:from>
    <xdr:to>
      <xdr:col>2</xdr:col>
      <xdr:colOff>38100</xdr:colOff>
      <xdr:row>7</xdr:row>
      <xdr:rowOff>247650</xdr:rowOff>
    </xdr:to>
    <xdr:sp macro="" textlink="">
      <xdr:nvSpPr>
        <xdr:cNvPr id="8" name="星: 5 pt 7">
          <a:extLst>
            <a:ext uri="{FF2B5EF4-FFF2-40B4-BE49-F238E27FC236}">
              <a16:creationId xmlns:a16="http://schemas.microsoft.com/office/drawing/2014/main" id="{376B78C9-78E8-499B-BB4A-A3D5B557F6CB}"/>
            </a:ext>
          </a:extLst>
        </xdr:cNvPr>
        <xdr:cNvSpPr/>
      </xdr:nvSpPr>
      <xdr:spPr>
        <a:xfrm>
          <a:off x="1181100" y="1371600"/>
          <a:ext cx="228600" cy="209550"/>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538766</xdr:colOff>
      <xdr:row>4</xdr:row>
      <xdr:rowOff>29998</xdr:rowOff>
    </xdr:from>
    <xdr:to>
      <xdr:col>8</xdr:col>
      <xdr:colOff>195866</xdr:colOff>
      <xdr:row>11</xdr:row>
      <xdr:rowOff>13552</xdr:rowOff>
    </xdr:to>
    <xdr:sp macro="" textlink="">
      <xdr:nvSpPr>
        <xdr:cNvPr id="9" name="矢印: 右 8">
          <a:extLst>
            <a:ext uri="{FF2B5EF4-FFF2-40B4-BE49-F238E27FC236}">
              <a16:creationId xmlns:a16="http://schemas.microsoft.com/office/drawing/2014/main" id="{3BE59822-BF46-4E6D-94A0-145F646ACEFB}"/>
            </a:ext>
          </a:extLst>
        </xdr:cNvPr>
        <xdr:cNvSpPr/>
      </xdr:nvSpPr>
      <xdr:spPr>
        <a:xfrm rot="3927287">
          <a:off x="4785614" y="1269550"/>
          <a:ext cx="1450404"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2</xdr:row>
      <xdr:rowOff>57150</xdr:rowOff>
    </xdr:from>
    <xdr:to>
      <xdr:col>8</xdr:col>
      <xdr:colOff>19050</xdr:colOff>
      <xdr:row>4</xdr:row>
      <xdr:rowOff>114300</xdr:rowOff>
    </xdr:to>
    <xdr:sp macro="" textlink="">
      <xdr:nvSpPr>
        <xdr:cNvPr id="7" name="吹き出し: 線 6">
          <a:extLst>
            <a:ext uri="{FF2B5EF4-FFF2-40B4-BE49-F238E27FC236}">
              <a16:creationId xmlns:a16="http://schemas.microsoft.com/office/drawing/2014/main" id="{489E3086-13FB-4ECB-ACB2-150286BAA5AB}"/>
            </a:ext>
          </a:extLst>
        </xdr:cNvPr>
        <xdr:cNvSpPr/>
      </xdr:nvSpPr>
      <xdr:spPr>
        <a:xfrm>
          <a:off x="4210050" y="400050"/>
          <a:ext cx="1295400" cy="400050"/>
        </a:xfrm>
        <a:prstGeom prst="borderCallout1">
          <a:avLst>
            <a:gd name="adj1" fmla="val 58036"/>
            <a:gd name="adj2" fmla="val -953"/>
            <a:gd name="adj3" fmla="val 244641"/>
            <a:gd name="adj4" fmla="val -209318"/>
          </a:avLst>
        </a:prstGeom>
        <a:solidFill>
          <a:schemeClr val="accent2">
            <a:lumMod val="40000"/>
            <a:lumOff val="60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rPr>
            <a:t>※</a:t>
          </a:r>
          <a:r>
            <a:rPr kumimoji="1" lang="ja-JP" altLang="en-US" sz="1600">
              <a:solidFill>
                <a:sysClr val="windowText" lastClr="000000"/>
              </a:solidFill>
            </a:rPr>
            <a:t>支払金額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140100</xdr:colOff>
      <xdr:row>0</xdr:row>
      <xdr:rowOff>64921</xdr:rowOff>
    </xdr:from>
    <xdr:to>
      <xdr:col>16</xdr:col>
      <xdr:colOff>234009</xdr:colOff>
      <xdr:row>2</xdr:row>
      <xdr:rowOff>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709924" y="64921"/>
          <a:ext cx="1461026" cy="46175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試算シートに戻る</a:t>
          </a:r>
          <a:endParaRPr kumimoji="1" lang="en-US" altLang="ja-JP" sz="1100"/>
        </a:p>
      </xdr:txBody>
    </xdr:sp>
    <xdr:clientData/>
  </xdr:twoCellAnchor>
  <xdr:twoCellAnchor editAs="oneCell">
    <xdr:from>
      <xdr:col>0</xdr:col>
      <xdr:colOff>100852</xdr:colOff>
      <xdr:row>0</xdr:row>
      <xdr:rowOff>73689</xdr:rowOff>
    </xdr:from>
    <xdr:to>
      <xdr:col>13</xdr:col>
      <xdr:colOff>664309</xdr:colOff>
      <xdr:row>31</xdr:row>
      <xdr:rowOff>112060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852" y="73689"/>
          <a:ext cx="9449722" cy="524910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584065</xdr:colOff>
      <xdr:row>7</xdr:row>
      <xdr:rowOff>112059</xdr:rowOff>
    </xdr:from>
    <xdr:to>
      <xdr:col>8</xdr:col>
      <xdr:colOff>649942</xdr:colOff>
      <xdr:row>14</xdr:row>
      <xdr:rowOff>89648</xdr:rowOff>
    </xdr:to>
    <xdr:sp macro="" textlink="">
      <xdr:nvSpPr>
        <xdr:cNvPr id="6" name="角丸四角形 2">
          <a:extLst>
            <a:ext uri="{FF2B5EF4-FFF2-40B4-BE49-F238E27FC236}">
              <a16:creationId xmlns:a16="http://schemas.microsoft.com/office/drawing/2014/main" id="{00000000-0008-0000-0200-000006000000}"/>
            </a:ext>
          </a:extLst>
        </xdr:cNvPr>
        <xdr:cNvSpPr/>
      </xdr:nvSpPr>
      <xdr:spPr>
        <a:xfrm>
          <a:off x="2634741" y="1288677"/>
          <a:ext cx="3483672" cy="1154206"/>
        </a:xfrm>
        <a:prstGeom prst="round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70737</xdr:colOff>
      <xdr:row>16</xdr:row>
      <xdr:rowOff>144678</xdr:rowOff>
    </xdr:from>
    <xdr:to>
      <xdr:col>13</xdr:col>
      <xdr:colOff>476251</xdr:colOff>
      <xdr:row>26</xdr:row>
      <xdr:rowOff>59531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809175" y="2843428"/>
          <a:ext cx="6566998" cy="1601572"/>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HG丸ｺﾞｼｯｸM-PRO" panose="020F0400000000000000" pitchFamily="34" charset="-128"/>
              <a:ea typeface="HG丸ｺﾞｼｯｸM-PRO" panose="020F0400000000000000" pitchFamily="34" charset="-128"/>
            </a:rPr>
            <a:t>枠内の「支払金額」を基に公的年金等所得を計算します</a:t>
          </a:r>
          <a:r>
            <a:rPr kumimoji="1" lang="ja-JP" altLang="en-US" sz="1400" b="1">
              <a:latin typeface="HG丸ｺﾞｼｯｸM-PRO" panose="020F0400000000000000" pitchFamily="34" charset="-128"/>
              <a:ea typeface="HG丸ｺﾞｼｯｸM-PRO" panose="020F0400000000000000" pitchFamily="34" charset="-128"/>
            </a:rPr>
            <a:t>。</a:t>
          </a:r>
          <a:endParaRPr kumimoji="1" lang="en-US" altLang="ja-JP" sz="1400" b="1">
            <a:latin typeface="HG丸ｺﾞｼｯｸM-PRO" panose="020F0400000000000000" pitchFamily="34" charset="-128"/>
            <a:ea typeface="HG丸ｺﾞｼｯｸM-PRO" panose="020F0400000000000000" pitchFamily="34" charset="-128"/>
          </a:endParaRPr>
        </a:p>
        <a:p>
          <a:endParaRPr kumimoji="1" lang="en-US" altLang="ja-JP" sz="1400" b="1">
            <a:latin typeface="HG丸ｺﾞｼｯｸM-PRO" panose="020F0400000000000000" pitchFamily="34" charset="-128"/>
            <a:ea typeface="HG丸ｺﾞｼｯｸM-PRO" panose="020F0400000000000000" pitchFamily="34" charset="-128"/>
          </a:endParaRPr>
        </a:p>
        <a:p>
          <a:r>
            <a:rPr kumimoji="1" lang="ja-JP" altLang="en-US" sz="1800" b="1">
              <a:latin typeface="HG丸ｺﾞｼｯｸM-PRO" panose="020F0400000000000000" pitchFamily="34" charset="-128"/>
              <a:ea typeface="HG丸ｺﾞｼｯｸM-PRO" panose="020F0400000000000000" pitchFamily="34" charset="-128"/>
            </a:rPr>
            <a:t>下記の事項を入力し、公的年金等所得を計算してください。</a:t>
          </a:r>
          <a:endParaRPr kumimoji="1" lang="en-US" altLang="ja-JP" sz="1800" b="1">
            <a:latin typeface="HG丸ｺﾞｼｯｸM-PRO" panose="020F0400000000000000" pitchFamily="34" charset="-128"/>
            <a:ea typeface="HG丸ｺﾞｼｯｸM-PRO" panose="020F0400000000000000" pitchFamily="34" charset="-128"/>
          </a:endParaRPr>
        </a:p>
        <a:p>
          <a:endParaRPr kumimoji="1" lang="en-US" altLang="ja-JP" sz="1400" b="0" i="0">
            <a:solidFill>
              <a:srgbClr val="000000"/>
            </a:solidFill>
            <a:effectLst/>
            <a:latin typeface="HG丸ｺﾞｼｯｸM-PRO" panose="020F0400000000000000" pitchFamily="34" charset="-128"/>
            <a:ea typeface="HG丸ｺﾞｼｯｸM-PRO" panose="020F0400000000000000" pitchFamily="34" charset="-128"/>
          </a:endParaRPr>
        </a:p>
        <a:p>
          <a:r>
            <a:rPr kumimoji="1" lang="ja-JP" altLang="en-US" sz="1400" b="0" i="0">
              <a:solidFill>
                <a:srgbClr val="000000"/>
              </a:solidFill>
              <a:effectLst/>
              <a:latin typeface="HG丸ｺﾞｼｯｸM-PRO" panose="020F0400000000000000" pitchFamily="34" charset="-128"/>
              <a:ea typeface="HG丸ｺﾞｼｯｸM-PRO" panose="020F0400000000000000" pitchFamily="34" charset="-128"/>
            </a:rPr>
            <a:t>障害年金、遺族年金等の非課税所得は、国保の総所得金額等に含みません。</a:t>
          </a:r>
          <a:endParaRPr lang="ja-JP" altLang="en-US" sz="1400" b="0" i="0">
            <a:solidFill>
              <a:srgbClr val="000000"/>
            </a:solidFill>
            <a:effectLst/>
            <a:latin typeface="Meiryo" panose="020B0604030504040204" pitchFamily="50" charset="-128"/>
            <a:ea typeface="Meiryo" panose="020B0604030504040204" pitchFamily="50" charset="-128"/>
          </a:endParaRPr>
        </a:p>
        <a:p>
          <a:endParaRPr kumimoji="1" lang="ja-JP" altLang="en-US" sz="1200">
            <a:latin typeface="HG丸ｺﾞｼｯｸM-PRO" panose="020F0400000000000000" pitchFamily="34" charset="-128"/>
            <a:ea typeface="HG丸ｺﾞｼｯｸM-PRO" panose="020F0400000000000000" pitchFamily="34" charset="-128"/>
          </a:endParaRPr>
        </a:p>
      </xdr:txBody>
    </xdr:sp>
    <xdr:clientData/>
  </xdr:twoCellAnchor>
  <xdr:twoCellAnchor>
    <xdr:from>
      <xdr:col>3</xdr:col>
      <xdr:colOff>156882</xdr:colOff>
      <xdr:row>41</xdr:row>
      <xdr:rowOff>112058</xdr:rowOff>
    </xdr:from>
    <xdr:to>
      <xdr:col>5</xdr:col>
      <xdr:colOff>589989</xdr:colOff>
      <xdr:row>45</xdr:row>
      <xdr:rowOff>100852</xdr:rowOff>
    </xdr:to>
    <xdr:sp macro="" textlink="">
      <xdr:nvSpPr>
        <xdr:cNvPr id="7" name="矢印: 下 6">
          <a:extLst>
            <a:ext uri="{FF2B5EF4-FFF2-40B4-BE49-F238E27FC236}">
              <a16:creationId xmlns:a16="http://schemas.microsoft.com/office/drawing/2014/main" id="{45D4677B-7256-4067-BF6D-FD47BD38BD21}"/>
            </a:ext>
          </a:extLst>
        </xdr:cNvPr>
        <xdr:cNvSpPr/>
      </xdr:nvSpPr>
      <xdr:spPr>
        <a:xfrm>
          <a:off x="2207558" y="7384676"/>
          <a:ext cx="1800225" cy="661147"/>
        </a:xfrm>
        <a:prstGeom prst="downArrow">
          <a:avLst>
            <a:gd name="adj1" fmla="val 32011"/>
            <a:gd name="adj2" fmla="val 5000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606138</xdr:colOff>
      <xdr:row>14</xdr:row>
      <xdr:rowOff>69273</xdr:rowOff>
    </xdr:from>
    <xdr:to>
      <xdr:col>3</xdr:col>
      <xdr:colOff>675409</xdr:colOff>
      <xdr:row>37</xdr:row>
      <xdr:rowOff>173183</xdr:rowOff>
    </xdr:to>
    <xdr:cxnSp macro="">
      <xdr:nvCxnSpPr>
        <xdr:cNvPr id="9" name="コネクタ: 曲線 8">
          <a:extLst>
            <a:ext uri="{FF2B5EF4-FFF2-40B4-BE49-F238E27FC236}">
              <a16:creationId xmlns:a16="http://schemas.microsoft.com/office/drawing/2014/main" id="{FA7D2132-D324-44FB-8F9C-256C6A170F40}"/>
            </a:ext>
          </a:extLst>
        </xdr:cNvPr>
        <xdr:cNvCxnSpPr/>
      </xdr:nvCxnSpPr>
      <xdr:spPr>
        <a:xfrm rot="5400000">
          <a:off x="-112568" y="3905251"/>
          <a:ext cx="4277592" cy="1454726"/>
        </a:xfrm>
        <a:prstGeom prst="curvedConnector3">
          <a:avLst>
            <a:gd name="adj1" fmla="val 50000"/>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89296</xdr:colOff>
      <xdr:row>9</xdr:row>
      <xdr:rowOff>89297</xdr:rowOff>
    </xdr:from>
    <xdr:to>
      <xdr:col>3</xdr:col>
      <xdr:colOff>515937</xdr:colOff>
      <xdr:row>11</xdr:row>
      <xdr:rowOff>148828</xdr:rowOff>
    </xdr:to>
    <xdr:sp macro="" textlink="">
      <xdr:nvSpPr>
        <xdr:cNvPr id="12" name="星: 5 pt 11">
          <a:extLst>
            <a:ext uri="{FF2B5EF4-FFF2-40B4-BE49-F238E27FC236}">
              <a16:creationId xmlns:a16="http://schemas.microsoft.com/office/drawing/2014/main" id="{D67462B5-D408-41CB-89C9-BF1F28FFBA8C}"/>
            </a:ext>
          </a:extLst>
        </xdr:cNvPr>
        <xdr:cNvSpPr/>
      </xdr:nvSpPr>
      <xdr:spPr>
        <a:xfrm>
          <a:off x="2143124" y="1607344"/>
          <a:ext cx="426641" cy="396875"/>
        </a:xfrm>
        <a:prstGeom prst="star5">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2</xdr:row>
      <xdr:rowOff>34635</xdr:rowOff>
    </xdr:from>
    <xdr:to>
      <xdr:col>17</xdr:col>
      <xdr:colOff>17318</xdr:colOff>
      <xdr:row>98</xdr:row>
      <xdr:rowOff>26796</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8" y="380999"/>
          <a:ext cx="11776364" cy="16617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5196</xdr:colOff>
      <xdr:row>62</xdr:row>
      <xdr:rowOff>151534</xdr:rowOff>
    </xdr:from>
    <xdr:to>
      <xdr:col>9</xdr:col>
      <xdr:colOff>14721</xdr:colOff>
      <xdr:row>67</xdr:row>
      <xdr:rowOff>25978</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7923" y="10888807"/>
          <a:ext cx="5551343" cy="740353"/>
        </a:xfrm>
        <a:prstGeom prst="roundRect">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571501</xdr:colOff>
      <xdr:row>15</xdr:row>
      <xdr:rowOff>155864</xdr:rowOff>
    </xdr:from>
    <xdr:to>
      <xdr:col>9</xdr:col>
      <xdr:colOff>607291</xdr:colOff>
      <xdr:row>53</xdr:row>
      <xdr:rowOff>34637</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79287" y="2605150"/>
          <a:ext cx="4898075" cy="6083630"/>
        </a:xfrm>
        <a:prstGeom prst="wedgeRoundRectCallou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en-US" altLang="ja-JP" sz="1800"/>
        </a:p>
        <a:p>
          <a:r>
            <a:rPr kumimoji="1" lang="ja-JP" altLang="en-US" sz="2000"/>
            <a:t>確定申告書Ｂ用をご用意の方は、</a:t>
          </a:r>
          <a:endParaRPr kumimoji="1" lang="en-US" altLang="ja-JP" sz="2000"/>
        </a:p>
        <a:p>
          <a:r>
            <a:rPr kumimoji="1" lang="ja-JP" altLang="en-US" sz="2000" u="sng"/>
            <a:t>⑫番</a:t>
          </a:r>
          <a:r>
            <a:rPr kumimoji="1" lang="ja-JP" altLang="en-US" sz="2000"/>
            <a:t>の合計欄から給与所得及び公的年金等雑所得を減じた額を</a:t>
          </a:r>
          <a:r>
            <a:rPr kumimoji="1" lang="en-US" altLang="ja-JP" sz="2000"/>
            <a:t>『</a:t>
          </a:r>
          <a:r>
            <a:rPr kumimoji="1" lang="ja-JP" altLang="en-US" sz="2000"/>
            <a:t>営業・その他所得*</a:t>
          </a:r>
          <a:r>
            <a:rPr kumimoji="1" lang="en-US" altLang="ja-JP" sz="2000"/>
            <a:t>3』</a:t>
          </a:r>
          <a:r>
            <a:rPr kumimoji="1" lang="ja-JP" altLang="en-US" sz="2000"/>
            <a:t>に入力してください。</a:t>
          </a:r>
          <a:endParaRPr kumimoji="1" lang="en-US" altLang="ja-JP" sz="2000"/>
        </a:p>
        <a:p>
          <a:endParaRPr kumimoji="1" lang="en-US" altLang="ja-JP" sz="2000"/>
        </a:p>
        <a:p>
          <a:r>
            <a:rPr kumimoji="1" lang="ja-JP" altLang="en-US" sz="2000"/>
            <a:t>なお、株式等の譲渡所得等分離申告分がある方は分離課税となる各所得を別途含みます。</a:t>
          </a:r>
          <a:endParaRPr kumimoji="1" lang="en-US" altLang="ja-JP" sz="2000"/>
        </a:p>
        <a:p>
          <a:endParaRPr kumimoji="1" lang="en-US" altLang="ja-JP" sz="2000"/>
        </a:p>
        <a:p>
          <a:r>
            <a:rPr kumimoji="1" lang="en-US" altLang="ja-JP" sz="2000"/>
            <a:t>※</a:t>
          </a:r>
          <a:r>
            <a:rPr kumimoji="1" lang="ja-JP" altLang="en-US" sz="2000"/>
            <a:t>繰越損失等がある場合は、その控除</a:t>
          </a:r>
          <a:endParaRPr kumimoji="1" lang="en-US" altLang="ja-JP" sz="2000"/>
        </a:p>
        <a:p>
          <a:r>
            <a:rPr kumimoji="1" lang="ja-JP" altLang="en-US" sz="2000"/>
            <a:t>　</a:t>
          </a:r>
          <a:r>
            <a:rPr kumimoji="1" lang="ja-JP" altLang="en-US" sz="2000" baseline="0"/>
            <a:t> </a:t>
          </a:r>
          <a:r>
            <a:rPr kumimoji="1" lang="ja-JP" altLang="en-US" sz="2000"/>
            <a:t>後の金額となります（雑損失を除く）。</a:t>
          </a:r>
          <a:endParaRPr kumimoji="1" lang="en-US" altLang="ja-JP" sz="2000"/>
        </a:p>
        <a:p>
          <a:r>
            <a:rPr kumimoji="1" lang="en-US" altLang="ja-JP" sz="2000"/>
            <a:t>※</a:t>
          </a:r>
          <a:r>
            <a:rPr kumimoji="1" lang="ja-JP" altLang="en-US" sz="2000"/>
            <a:t>株式等の取引の際源泉徴収有の特</a:t>
          </a:r>
          <a:endParaRPr kumimoji="1" lang="en-US" altLang="ja-JP" sz="2000"/>
        </a:p>
        <a:p>
          <a:r>
            <a:rPr kumimoji="1" lang="ja-JP" altLang="en-US" sz="2000"/>
            <a:t>　 定口座を選択し、確定申告をしなかっ</a:t>
          </a:r>
          <a:endParaRPr kumimoji="1" lang="en-US" altLang="ja-JP" sz="2000"/>
        </a:p>
        <a:p>
          <a:r>
            <a:rPr kumimoji="1" lang="ja-JP" altLang="en-US" sz="2000"/>
            <a:t>　 た場合の所得は国保税算定に含みま</a:t>
          </a:r>
          <a:endParaRPr kumimoji="1" lang="en-US" altLang="ja-JP" sz="2000"/>
        </a:p>
        <a:p>
          <a:r>
            <a:rPr kumimoji="1" lang="ja-JP" altLang="en-US" sz="2000"/>
            <a:t>　 せん。</a:t>
          </a:r>
        </a:p>
      </xdr:txBody>
    </xdr:sp>
    <xdr:clientData/>
  </xdr:twoCellAnchor>
  <xdr:twoCellAnchor>
    <xdr:from>
      <xdr:col>9</xdr:col>
      <xdr:colOff>393987</xdr:colOff>
      <xdr:row>10</xdr:row>
      <xdr:rowOff>138549</xdr:rowOff>
    </xdr:from>
    <xdr:to>
      <xdr:col>12</xdr:col>
      <xdr:colOff>277090</xdr:colOff>
      <xdr:row>67</xdr:row>
      <xdr:rowOff>77934</xdr:rowOff>
    </xdr:to>
    <xdr:sp macro="" textlink="">
      <xdr:nvSpPr>
        <xdr:cNvPr id="2" name="屈折矢印 1">
          <a:extLst>
            <a:ext uri="{FF2B5EF4-FFF2-40B4-BE49-F238E27FC236}">
              <a16:creationId xmlns:a16="http://schemas.microsoft.com/office/drawing/2014/main" id="{00000000-0008-0000-0300-000002000000}"/>
            </a:ext>
          </a:extLst>
        </xdr:cNvPr>
        <xdr:cNvSpPr/>
      </xdr:nvSpPr>
      <xdr:spPr>
        <a:xfrm rot="5400000">
          <a:off x="2703800" y="5795099"/>
          <a:ext cx="9810749" cy="1961285"/>
        </a:xfrm>
        <a:prstGeom prst="bentUpArrow">
          <a:avLst>
            <a:gd name="adj1" fmla="val 20923"/>
            <a:gd name="adj2" fmla="val 22120"/>
            <a:gd name="adj3" fmla="val 43031"/>
          </a:avLst>
        </a:prstGeom>
        <a:ln>
          <a:solidFill>
            <a:schemeClr val="accent1"/>
          </a:solidFill>
        </a:ln>
        <a:scene3d>
          <a:camera prst="orthographicFront">
            <a:rot lat="0" lon="10799999"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428624</xdr:colOff>
      <xdr:row>13</xdr:row>
      <xdr:rowOff>119063</xdr:rowOff>
    </xdr:from>
    <xdr:to>
      <xdr:col>16</xdr:col>
      <xdr:colOff>380999</xdr:colOff>
      <xdr:row>27</xdr:row>
      <xdr:rowOff>51955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741351" y="2370427"/>
          <a:ext cx="2723284" cy="2357437"/>
        </a:xfrm>
        <a:prstGeom prst="round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確定申告書Ａ用の場合、</a:t>
          </a:r>
          <a:endParaRPr kumimoji="1" lang="en-US" altLang="ja-JP" sz="2000"/>
        </a:p>
        <a:p>
          <a:r>
            <a:rPr kumimoji="1" lang="ja-JP" altLang="en-US" sz="2000"/>
            <a:t>所得金額の合計は</a:t>
          </a:r>
          <a:r>
            <a:rPr kumimoji="1" lang="ja-JP" altLang="en-US" sz="2000" u="sng"/>
            <a:t>⑧番</a:t>
          </a:r>
          <a:r>
            <a:rPr kumimoji="1" lang="ja-JP" altLang="en-US" sz="2000"/>
            <a:t>をご確認ください。</a:t>
          </a:r>
        </a:p>
      </xdr:txBody>
    </xdr:sp>
    <xdr:clientData/>
  </xdr:twoCellAnchor>
  <xdr:twoCellAnchor>
    <xdr:from>
      <xdr:col>15</xdr:col>
      <xdr:colOff>601228</xdr:colOff>
      <xdr:row>5</xdr:row>
      <xdr:rowOff>129267</xdr:rowOff>
    </xdr:from>
    <xdr:to>
      <xdr:col>16</xdr:col>
      <xdr:colOff>488516</xdr:colOff>
      <xdr:row>13</xdr:row>
      <xdr:rowOff>75240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10992137" y="995176"/>
          <a:ext cx="580015" cy="1331428"/>
        </a:xfrm>
        <a:prstGeom prst="roundRect">
          <a:avLst/>
        </a:prstGeom>
        <a:noFill/>
        <a:ln w="762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175656</xdr:colOff>
      <xdr:row>1</xdr:row>
      <xdr:rowOff>23091</xdr:rowOff>
    </xdr:from>
    <xdr:to>
      <xdr:col>20</xdr:col>
      <xdr:colOff>213590</xdr:colOff>
      <xdr:row>5</xdr:row>
      <xdr:rowOff>3298</xdr:rowOff>
    </xdr:to>
    <xdr:sp macro="" textlink="">
      <xdr:nvSpPr>
        <xdr:cNvPr id="11" name="四角形: 角度付き 10">
          <a:hlinkClick xmlns:r="http://schemas.openxmlformats.org/officeDocument/2006/relationships" r:id="rId2"/>
          <a:extLst>
            <a:ext uri="{FF2B5EF4-FFF2-40B4-BE49-F238E27FC236}">
              <a16:creationId xmlns:a16="http://schemas.microsoft.com/office/drawing/2014/main" id="{00000000-0008-0000-0300-00000B000000}"/>
            </a:ext>
          </a:extLst>
        </xdr:cNvPr>
        <xdr:cNvSpPr/>
      </xdr:nvSpPr>
      <xdr:spPr>
        <a:xfrm>
          <a:off x="11952020" y="196273"/>
          <a:ext cx="2116115" cy="67293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試算シートに戻る</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76"/>
  <sheetViews>
    <sheetView showGridLines="0" tabSelected="1" view="pageBreakPreview" zoomScale="55" zoomScaleNormal="55" zoomScaleSheetLayoutView="55" zoomScalePageLayoutView="70" workbookViewId="0">
      <selection activeCell="C11" sqref="C11"/>
    </sheetView>
  </sheetViews>
  <sheetFormatPr defaultColWidth="9" defaultRowHeight="13.2"/>
  <cols>
    <col min="1" max="1" width="7.6640625" style="2" customWidth="1"/>
    <col min="2" max="2" width="11.6640625" style="2" customWidth="1"/>
    <col min="3" max="9" width="14" style="2" customWidth="1"/>
    <col min="10" max="10" width="14.77734375" style="2" customWidth="1"/>
    <col min="11" max="11" width="17.6640625" style="2" customWidth="1"/>
    <col min="12" max="12" width="7.6640625" style="2" customWidth="1"/>
    <col min="13" max="13" width="15.109375" style="2" hidden="1" customWidth="1"/>
    <col min="14" max="29" width="14.6640625" style="2" hidden="1" customWidth="1"/>
    <col min="30" max="30" width="9" style="2" hidden="1" customWidth="1"/>
    <col min="31" max="16384" width="9" style="2"/>
  </cols>
  <sheetData>
    <row r="1" spans="1:29" ht="24" customHeight="1" thickBot="1">
      <c r="A1" s="266" t="s">
        <v>187</v>
      </c>
      <c r="B1" s="266"/>
      <c r="C1" s="266"/>
      <c r="D1" s="266"/>
      <c r="E1" s="266"/>
      <c r="F1" s="266"/>
      <c r="G1" s="266"/>
      <c r="H1" s="266"/>
      <c r="I1" s="266"/>
      <c r="J1" s="266"/>
      <c r="K1" s="266"/>
      <c r="L1" s="266"/>
      <c r="N1" s="62" t="s">
        <v>168</v>
      </c>
      <c r="O1" s="62"/>
      <c r="P1" s="62"/>
      <c r="Q1" s="62"/>
      <c r="R1" s="62"/>
      <c r="S1" s="62"/>
      <c r="T1" s="3" t="s">
        <v>127</v>
      </c>
      <c r="U1" s="99" t="s">
        <v>3</v>
      </c>
      <c r="V1" s="99" t="s">
        <v>128</v>
      </c>
      <c r="W1" s="99" t="s">
        <v>129</v>
      </c>
      <c r="Y1" s="2" t="s">
        <v>182</v>
      </c>
    </row>
    <row r="2" spans="1:29" ht="24" customHeight="1" thickBot="1">
      <c r="A2" s="266"/>
      <c r="B2" s="266"/>
      <c r="C2" s="266"/>
      <c r="D2" s="266"/>
      <c r="E2" s="266"/>
      <c r="F2" s="266"/>
      <c r="G2" s="266"/>
      <c r="H2" s="266"/>
      <c r="I2" s="266"/>
      <c r="J2" s="266"/>
      <c r="K2" s="266"/>
      <c r="L2" s="266"/>
      <c r="N2" s="63"/>
      <c r="O2" s="64" t="s">
        <v>38</v>
      </c>
      <c r="P2" s="65" t="s">
        <v>39</v>
      </c>
      <c r="Q2" s="66" t="s">
        <v>46</v>
      </c>
      <c r="R2" s="67" t="s">
        <v>40</v>
      </c>
      <c r="S2" s="95"/>
      <c r="T2" s="18" t="s">
        <v>126</v>
      </c>
      <c r="U2" s="122">
        <v>33500</v>
      </c>
      <c r="V2" s="123">
        <v>10300</v>
      </c>
      <c r="W2" s="124">
        <v>6100</v>
      </c>
      <c r="Y2" s="26"/>
      <c r="Z2" s="27" t="s">
        <v>3</v>
      </c>
      <c r="AA2" s="28" t="s">
        <v>4</v>
      </c>
      <c r="AB2" s="29" t="s">
        <v>45</v>
      </c>
      <c r="AC2" s="30" t="s">
        <v>5</v>
      </c>
    </row>
    <row r="3" spans="1:29" ht="24" customHeight="1" thickTop="1" thickBot="1">
      <c r="A3" s="267"/>
      <c r="B3" s="267"/>
      <c r="C3" s="267"/>
      <c r="D3" s="267"/>
      <c r="E3" s="267"/>
      <c r="F3" s="267"/>
      <c r="G3" s="267"/>
      <c r="H3" s="267"/>
      <c r="I3" s="267"/>
      <c r="J3" s="267"/>
      <c r="K3" s="267"/>
      <c r="L3" s="267"/>
      <c r="N3" s="68" t="s">
        <v>120</v>
      </c>
      <c r="O3" s="86">
        <v>9.7600000000000006E-2</v>
      </c>
      <c r="P3" s="87">
        <v>2.86E-2</v>
      </c>
      <c r="Q3" s="69">
        <f>O3+P3</f>
        <v>0.12620000000000001</v>
      </c>
      <c r="R3" s="91">
        <v>2.3300000000000001E-2</v>
      </c>
      <c r="S3" s="96"/>
      <c r="T3" s="18" t="s">
        <v>0</v>
      </c>
      <c r="U3" s="14">
        <f>U2*0.3</f>
        <v>10050</v>
      </c>
      <c r="V3" s="14">
        <f t="shared" ref="V3:W3" si="0">V2*0.3</f>
        <v>3090</v>
      </c>
      <c r="W3" s="14">
        <f t="shared" si="0"/>
        <v>1830</v>
      </c>
      <c r="Y3" s="37" t="s">
        <v>0</v>
      </c>
      <c r="Z3" s="14">
        <f>O4*0.3</f>
        <v>9420</v>
      </c>
      <c r="AA3" s="24">
        <f>P4*0.3</f>
        <v>2910</v>
      </c>
      <c r="AB3" s="25">
        <f>Z3+AA3</f>
        <v>12330</v>
      </c>
      <c r="AC3" s="19">
        <f>R4*0.3</f>
        <v>3480</v>
      </c>
    </row>
    <row r="4" spans="1:29" ht="38.1" customHeight="1">
      <c r="A4" s="302" t="s">
        <v>188</v>
      </c>
      <c r="B4" s="303"/>
      <c r="C4" s="303"/>
      <c r="D4" s="303"/>
      <c r="E4" s="303"/>
      <c r="F4" s="303"/>
      <c r="G4" s="303"/>
      <c r="H4" s="303"/>
      <c r="I4" s="303"/>
      <c r="J4" s="303"/>
      <c r="K4" s="303"/>
      <c r="L4" s="304"/>
      <c r="N4" s="70" t="s">
        <v>41</v>
      </c>
      <c r="O4" s="32">
        <v>31400</v>
      </c>
      <c r="P4" s="88">
        <v>9700</v>
      </c>
      <c r="Q4" s="71">
        <f>O4+P4</f>
        <v>41100</v>
      </c>
      <c r="R4" s="92">
        <v>11600</v>
      </c>
      <c r="S4" s="97"/>
      <c r="T4" s="18" t="s">
        <v>1</v>
      </c>
      <c r="U4" s="8">
        <f>U2*0.5</f>
        <v>16750</v>
      </c>
      <c r="V4" s="8">
        <f t="shared" ref="V4:W4" si="1">V2*0.5</f>
        <v>5150</v>
      </c>
      <c r="W4" s="8">
        <f t="shared" si="1"/>
        <v>3050</v>
      </c>
      <c r="Y4" s="18" t="s">
        <v>1</v>
      </c>
      <c r="Z4" s="8">
        <f>O4*0.5</f>
        <v>15700</v>
      </c>
      <c r="AA4" s="21">
        <f>P4*0.5</f>
        <v>4850</v>
      </c>
      <c r="AB4" s="22">
        <f>Z4+AA4</f>
        <v>20550</v>
      </c>
      <c r="AC4" s="20">
        <f>R4*0.5</f>
        <v>5800</v>
      </c>
    </row>
    <row r="5" spans="1:29" ht="38.1" customHeight="1" thickBot="1">
      <c r="A5" s="305"/>
      <c r="B5" s="306"/>
      <c r="C5" s="306"/>
      <c r="D5" s="306"/>
      <c r="E5" s="306"/>
      <c r="F5" s="306"/>
      <c r="G5" s="306"/>
      <c r="H5" s="306"/>
      <c r="I5" s="306"/>
      <c r="J5" s="306"/>
      <c r="K5" s="306"/>
      <c r="L5" s="307"/>
      <c r="N5" s="72" t="s">
        <v>10</v>
      </c>
      <c r="O5" s="89">
        <v>660000</v>
      </c>
      <c r="P5" s="90">
        <v>260000</v>
      </c>
      <c r="Q5" s="73">
        <f>O5+P5</f>
        <v>920000</v>
      </c>
      <c r="R5" s="74">
        <v>170000</v>
      </c>
      <c r="S5" s="98"/>
      <c r="T5" s="18" t="s">
        <v>2</v>
      </c>
      <c r="U5" s="8">
        <f>U2*0.8</f>
        <v>26800</v>
      </c>
      <c r="V5" s="8">
        <f t="shared" ref="V5:W5" si="2">V2*0.8</f>
        <v>8240</v>
      </c>
      <c r="W5" s="8">
        <f t="shared" si="2"/>
        <v>4880</v>
      </c>
      <c r="Y5" s="18" t="s">
        <v>2</v>
      </c>
      <c r="Z5" s="8">
        <f>O4*0.8</f>
        <v>25120</v>
      </c>
      <c r="AA5" s="21">
        <f>P4*0.8</f>
        <v>7760</v>
      </c>
      <c r="AB5" s="23">
        <f>Z5+AA5</f>
        <v>32880</v>
      </c>
      <c r="AC5" s="20">
        <f>R4*0.8</f>
        <v>9280</v>
      </c>
    </row>
    <row r="6" spans="1:29" ht="38.1" customHeight="1" thickTop="1" thickBot="1">
      <c r="A6" s="308"/>
      <c r="B6" s="309"/>
      <c r="C6" s="309"/>
      <c r="D6" s="309"/>
      <c r="E6" s="309"/>
      <c r="F6" s="309"/>
      <c r="G6" s="309"/>
      <c r="H6" s="309"/>
      <c r="I6" s="309"/>
      <c r="J6" s="309"/>
      <c r="K6" s="309"/>
      <c r="L6" s="310"/>
      <c r="N6" s="296" t="s">
        <v>52</v>
      </c>
      <c r="O6" s="298">
        <v>-430000</v>
      </c>
      <c r="P6" s="299"/>
      <c r="Q6" s="288" t="s">
        <v>89</v>
      </c>
      <c r="R6" s="289"/>
      <c r="T6" s="62" t="s">
        <v>93</v>
      </c>
      <c r="U6" s="45"/>
      <c r="V6" s="45"/>
      <c r="W6" s="45"/>
    </row>
    <row r="7" spans="1:29" ht="30" customHeight="1" thickBot="1">
      <c r="N7" s="297"/>
      <c r="O7" s="300">
        <v>-190000</v>
      </c>
      <c r="P7" s="301"/>
      <c r="Q7" s="290" t="s">
        <v>90</v>
      </c>
      <c r="R7" s="291"/>
      <c r="T7" s="63"/>
      <c r="U7" s="72" t="s">
        <v>3</v>
      </c>
      <c r="V7" s="125" t="s">
        <v>4</v>
      </c>
      <c r="W7" s="126" t="s">
        <v>45</v>
      </c>
    </row>
    <row r="8" spans="1:29" ht="30" customHeight="1" thickTop="1" thickBot="1">
      <c r="A8" s="148" t="s">
        <v>31</v>
      </c>
      <c r="B8" s="149"/>
      <c r="C8" s="149"/>
      <c r="D8" s="149"/>
      <c r="E8" s="149"/>
      <c r="F8" s="149"/>
      <c r="G8" s="149"/>
      <c r="H8" s="149"/>
      <c r="I8" s="149"/>
      <c r="J8" s="149"/>
      <c r="K8" s="149"/>
      <c r="L8" s="151"/>
      <c r="N8" s="297"/>
      <c r="O8" s="300">
        <v>-150000</v>
      </c>
      <c r="P8" s="301"/>
      <c r="Q8" s="290" t="s">
        <v>91</v>
      </c>
      <c r="R8" s="291"/>
      <c r="T8" s="68" t="s">
        <v>94</v>
      </c>
      <c r="U8" s="127">
        <f>O4/2</f>
        <v>15700</v>
      </c>
      <c r="V8" s="128">
        <f>P4/2</f>
        <v>4850</v>
      </c>
      <c r="W8" s="129">
        <f>U8+V8</f>
        <v>20550</v>
      </c>
    </row>
    <row r="9" spans="1:29" ht="30" customHeight="1" thickTop="1">
      <c r="A9" s="152"/>
      <c r="B9" s="283" t="s">
        <v>25</v>
      </c>
      <c r="C9" s="312" t="s">
        <v>26</v>
      </c>
      <c r="D9" s="312" t="s">
        <v>37</v>
      </c>
      <c r="E9" s="312" t="s">
        <v>27</v>
      </c>
      <c r="F9" s="312" t="s">
        <v>87</v>
      </c>
      <c r="G9" s="312" t="s">
        <v>86</v>
      </c>
      <c r="H9" s="314" t="s">
        <v>85</v>
      </c>
      <c r="I9" s="264" t="s">
        <v>24</v>
      </c>
      <c r="J9" s="292" t="s">
        <v>176</v>
      </c>
      <c r="K9" s="293"/>
      <c r="L9" s="153"/>
      <c r="N9" s="284"/>
      <c r="O9" s="300">
        <v>0</v>
      </c>
      <c r="P9" s="301"/>
      <c r="Q9" s="290" t="s">
        <v>92</v>
      </c>
      <c r="R9" s="291"/>
      <c r="T9" s="70" t="s">
        <v>0</v>
      </c>
      <c r="U9" s="130">
        <f t="shared" ref="U9:V11" si="3">Z3/2</f>
        <v>4710</v>
      </c>
      <c r="V9" s="131">
        <f t="shared" si="3"/>
        <v>1455</v>
      </c>
      <c r="W9" s="132">
        <f>U9+V9</f>
        <v>6165</v>
      </c>
    </row>
    <row r="10" spans="1:29" s="3" customFormat="1" ht="33.9" customHeight="1" thickBot="1">
      <c r="A10" s="166"/>
      <c r="B10" s="311"/>
      <c r="C10" s="313"/>
      <c r="D10" s="313"/>
      <c r="E10" s="313"/>
      <c r="F10" s="313"/>
      <c r="G10" s="313"/>
      <c r="H10" s="315"/>
      <c r="I10" s="265"/>
      <c r="J10" s="294"/>
      <c r="K10" s="295"/>
      <c r="L10" s="167"/>
      <c r="M10" s="4"/>
      <c r="O10" s="60"/>
      <c r="P10" s="60"/>
      <c r="Q10" s="61"/>
      <c r="R10" s="61"/>
      <c r="S10" s="2"/>
      <c r="T10" s="70" t="s">
        <v>1</v>
      </c>
      <c r="U10" s="130">
        <f t="shared" si="3"/>
        <v>7850</v>
      </c>
      <c r="V10" s="131">
        <f t="shared" si="3"/>
        <v>2425</v>
      </c>
      <c r="W10" s="132">
        <f>U10+V10</f>
        <v>10275</v>
      </c>
    </row>
    <row r="11" spans="1:29" ht="35.1" customHeight="1" thickTop="1" thickBot="1">
      <c r="A11" s="152"/>
      <c r="B11" s="17" t="s">
        <v>28</v>
      </c>
      <c r="C11" s="173"/>
      <c r="D11" s="174"/>
      <c r="E11" s="117"/>
      <c r="F11" s="117"/>
      <c r="G11" s="117"/>
      <c r="H11" s="118"/>
      <c r="I11" s="120">
        <f>IF(SUM(E11:H11)&lt;0,0,SUM(E11:H11))</f>
        <v>0</v>
      </c>
      <c r="J11" s="176">
        <f>T16</f>
        <v>0</v>
      </c>
      <c r="K11" s="177"/>
      <c r="L11" s="153"/>
      <c r="N11" s="3"/>
      <c r="O11" s="60"/>
      <c r="P11" s="60"/>
      <c r="Q11" s="61"/>
      <c r="R11" s="61"/>
      <c r="T11" s="70" t="s">
        <v>2</v>
      </c>
      <c r="U11" s="130">
        <f t="shared" si="3"/>
        <v>12560</v>
      </c>
      <c r="V11" s="131">
        <f t="shared" si="3"/>
        <v>3880</v>
      </c>
      <c r="W11" s="133">
        <f>U11+V11</f>
        <v>16440</v>
      </c>
    </row>
    <row r="12" spans="1:29" ht="35.1" customHeight="1">
      <c r="A12" s="152"/>
      <c r="B12" s="18" t="s">
        <v>19</v>
      </c>
      <c r="C12" s="173"/>
      <c r="D12" s="174"/>
      <c r="E12" s="117"/>
      <c r="F12" s="117"/>
      <c r="G12" s="117"/>
      <c r="H12" s="118"/>
      <c r="I12" s="120">
        <f t="shared" ref="I12:I16" si="4">IF(SUM(E12:H12)&lt;0,0,SUM(E12:H12))</f>
        <v>0</v>
      </c>
      <c r="J12" s="176">
        <f t="shared" ref="J12:J16" si="5">T17</f>
        <v>0</v>
      </c>
      <c r="K12" s="177"/>
      <c r="L12" s="153"/>
      <c r="N12" s="3"/>
      <c r="O12" s="60"/>
      <c r="P12" s="60"/>
      <c r="Q12" s="61"/>
      <c r="R12" s="61"/>
      <c r="T12" s="77"/>
      <c r="U12" s="94"/>
      <c r="V12" s="94"/>
      <c r="W12" s="94"/>
      <c r="X12" s="3"/>
    </row>
    <row r="13" spans="1:29" ht="35.1" customHeight="1" thickBot="1">
      <c r="A13" s="152"/>
      <c r="B13" s="18" t="s">
        <v>20</v>
      </c>
      <c r="C13" s="173"/>
      <c r="D13" s="174"/>
      <c r="E13" s="117"/>
      <c r="F13" s="117"/>
      <c r="G13" s="117"/>
      <c r="H13" s="118"/>
      <c r="I13" s="120">
        <f t="shared" si="4"/>
        <v>0</v>
      </c>
      <c r="J13" s="176">
        <f t="shared" si="5"/>
        <v>0</v>
      </c>
      <c r="K13" s="177"/>
      <c r="L13" s="153"/>
      <c r="N13" s="2" t="s">
        <v>50</v>
      </c>
      <c r="Y13" s="45"/>
    </row>
    <row r="14" spans="1:29" ht="35.1" customHeight="1">
      <c r="A14" s="152"/>
      <c r="B14" s="18" t="s">
        <v>21</v>
      </c>
      <c r="C14" s="173"/>
      <c r="D14" s="174"/>
      <c r="E14" s="117"/>
      <c r="F14" s="117"/>
      <c r="G14" s="117"/>
      <c r="H14" s="118"/>
      <c r="I14" s="120">
        <f t="shared" si="4"/>
        <v>0</v>
      </c>
      <c r="J14" s="176">
        <f t="shared" si="5"/>
        <v>0</v>
      </c>
      <c r="K14" s="177"/>
      <c r="L14" s="153"/>
      <c r="O14" s="18" t="s">
        <v>43</v>
      </c>
      <c r="P14" s="56" t="s">
        <v>44</v>
      </c>
      <c r="Q14" s="18" t="s">
        <v>55</v>
      </c>
      <c r="R14" s="18" t="s">
        <v>56</v>
      </c>
      <c r="S14" s="18" t="s">
        <v>57</v>
      </c>
      <c r="T14" s="254" t="s">
        <v>77</v>
      </c>
      <c r="U14" s="255"/>
      <c r="V14" s="40" t="s">
        <v>68</v>
      </c>
      <c r="W14" s="201" t="s">
        <v>79</v>
      </c>
      <c r="X14" s="203"/>
    </row>
    <row r="15" spans="1:29" ht="35.1" customHeight="1" thickBot="1">
      <c r="A15" s="152"/>
      <c r="B15" s="18" t="s">
        <v>22</v>
      </c>
      <c r="C15" s="173"/>
      <c r="D15" s="174"/>
      <c r="E15" s="117"/>
      <c r="F15" s="117"/>
      <c r="G15" s="117"/>
      <c r="H15" s="118"/>
      <c r="I15" s="120">
        <f t="shared" si="4"/>
        <v>0</v>
      </c>
      <c r="J15" s="176">
        <f t="shared" si="5"/>
        <v>0</v>
      </c>
      <c r="K15" s="177"/>
      <c r="L15" s="153"/>
      <c r="N15" s="10"/>
      <c r="O15" s="38" t="s">
        <v>48</v>
      </c>
      <c r="P15" s="58" t="s">
        <v>49</v>
      </c>
      <c r="Q15" s="58" t="s">
        <v>24</v>
      </c>
      <c r="R15" s="38" t="s">
        <v>59</v>
      </c>
      <c r="S15" s="38" t="s">
        <v>51</v>
      </c>
      <c r="T15" s="256" t="s">
        <v>36</v>
      </c>
      <c r="U15" s="257"/>
      <c r="V15" s="42" t="s">
        <v>53</v>
      </c>
      <c r="W15" s="252" t="s">
        <v>54</v>
      </c>
      <c r="X15" s="253"/>
      <c r="AB15" s="7"/>
    </row>
    <row r="16" spans="1:29" ht="35.1" customHeight="1" thickTop="1" thickBot="1">
      <c r="A16" s="152"/>
      <c r="B16" s="10" t="s">
        <v>23</v>
      </c>
      <c r="C16" s="173"/>
      <c r="D16" s="174"/>
      <c r="E16" s="116"/>
      <c r="F16" s="116"/>
      <c r="G16" s="116"/>
      <c r="H16" s="118"/>
      <c r="I16" s="120">
        <f t="shared" si="4"/>
        <v>0</v>
      </c>
      <c r="J16" s="176">
        <f t="shared" si="5"/>
        <v>0</v>
      </c>
      <c r="K16" s="177"/>
      <c r="L16" s="153"/>
      <c r="N16" s="37" t="s">
        <v>12</v>
      </c>
      <c r="O16" s="31">
        <f>IF(C11="加入",1,0)</f>
        <v>0</v>
      </c>
      <c r="P16" s="46">
        <f>IF(OR(D11="",D11="75才以上"),0,1)</f>
        <v>0</v>
      </c>
      <c r="Q16" s="34">
        <f t="shared" ref="Q16:Q21" si="6">I11</f>
        <v>0</v>
      </c>
      <c r="R16" s="47">
        <f>IF(H11="〇",-E11*0.7,0)*IF(OR(D11="65～74才",D11="75才以上"),0,1)</f>
        <v>0</v>
      </c>
      <c r="S16" s="14">
        <f t="shared" ref="S16:S21" si="7">IF(I11&lt;=24000000,$O$6)+IF(AND(I11&gt;24000000,I11&lt;=24500000),$O$7)+IF(AND(I11&gt;24500000,I11&lt;=25000000),$O$8)+IF(I11&gt;25000000,$O$9)</f>
        <v>-430000</v>
      </c>
      <c r="T16" s="258">
        <f>IF(O16*P16*(Q16+R16+S16)&lt;0,0,O16*P16*(Q16+R16+S16))</f>
        <v>0</v>
      </c>
      <c r="U16" s="259"/>
      <c r="V16" s="41">
        <f>IF(D11="40～64才",1,0)</f>
        <v>0</v>
      </c>
      <c r="W16" s="250">
        <f>IF(O16*V16*(Q16+R16+S16)&lt;0,0,O16*V16*(Q16+R16+S16))</f>
        <v>0</v>
      </c>
      <c r="X16" s="251"/>
    </row>
    <row r="17" spans="1:27" ht="35.1" customHeight="1" thickTop="1" thickBot="1">
      <c r="A17" s="152"/>
      <c r="C17" s="194" t="s">
        <v>29</v>
      </c>
      <c r="D17" s="195"/>
      <c r="E17" s="195"/>
      <c r="F17" s="195"/>
      <c r="G17" s="195"/>
      <c r="H17" s="195"/>
      <c r="I17" s="196"/>
      <c r="J17" s="198">
        <f>SUM(J11:J16)</f>
        <v>0</v>
      </c>
      <c r="K17" s="199"/>
      <c r="L17" s="153"/>
      <c r="N17" s="18" t="s">
        <v>13</v>
      </c>
      <c r="O17" s="31">
        <f t="shared" ref="O17:O21" si="8">IF(C12="加入",1,0)</f>
        <v>0</v>
      </c>
      <c r="P17" s="46">
        <f t="shared" ref="P17:P21" si="9">IF(OR(D12="",D12="75才以上"),0,1)</f>
        <v>0</v>
      </c>
      <c r="Q17" s="34">
        <f t="shared" si="6"/>
        <v>0</v>
      </c>
      <c r="R17" s="47">
        <f t="shared" ref="R17:R21" si="10">IF(H12="〇",-E12*0.7,0)*IF(OR(D12="65～74才",D12="75才以上"),0,1)</f>
        <v>0</v>
      </c>
      <c r="S17" s="14">
        <f t="shared" si="7"/>
        <v>-430000</v>
      </c>
      <c r="T17" s="260">
        <f t="shared" ref="T17:T21" si="11">IF(O17*P17*(Q17+R17+S17)&lt;0,0,O17*P17*(Q17+R17+S17))</f>
        <v>0</v>
      </c>
      <c r="U17" s="261"/>
      <c r="V17" s="41">
        <f t="shared" ref="V17:V21" si="12">IF(D12="40～64才",1,0)</f>
        <v>0</v>
      </c>
      <c r="W17" s="285">
        <f t="shared" ref="W17:W21" si="13">IF(O17*V17*(Q17+R17+S17)&lt;0,0,O17*V17*(Q17+R17+S17))</f>
        <v>0</v>
      </c>
      <c r="X17" s="286"/>
    </row>
    <row r="18" spans="1:27" ht="30" customHeight="1" thickTop="1" thickBot="1">
      <c r="A18" s="168" t="s">
        <v>114</v>
      </c>
      <c r="C18" s="81"/>
      <c r="D18" s="81"/>
      <c r="E18" s="81"/>
      <c r="F18" s="81"/>
      <c r="G18" s="81"/>
      <c r="H18" s="81"/>
      <c r="I18" s="81"/>
      <c r="J18" s="82"/>
      <c r="K18" s="82"/>
      <c r="L18" s="153"/>
      <c r="N18" s="18" t="s">
        <v>15</v>
      </c>
      <c r="O18" s="31">
        <f t="shared" si="8"/>
        <v>0</v>
      </c>
      <c r="P18" s="46">
        <f t="shared" si="9"/>
        <v>0</v>
      </c>
      <c r="Q18" s="34">
        <f t="shared" si="6"/>
        <v>0</v>
      </c>
      <c r="R18" s="47">
        <f t="shared" si="10"/>
        <v>0</v>
      </c>
      <c r="S18" s="14">
        <f t="shared" si="7"/>
        <v>-430000</v>
      </c>
      <c r="T18" s="260">
        <f t="shared" si="11"/>
        <v>0</v>
      </c>
      <c r="U18" s="261"/>
      <c r="V18" s="41">
        <f t="shared" si="12"/>
        <v>0</v>
      </c>
      <c r="W18" s="285">
        <f t="shared" si="13"/>
        <v>0</v>
      </c>
      <c r="X18" s="286"/>
    </row>
    <row r="19" spans="1:27" ht="30" customHeight="1" thickTop="1" thickBot="1">
      <c r="A19" s="152"/>
      <c r="B19" s="12" t="s">
        <v>165</v>
      </c>
      <c r="G19" s="7"/>
      <c r="H19" s="7"/>
      <c r="I19" s="7"/>
      <c r="J19" s="7"/>
      <c r="K19" s="7"/>
      <c r="L19" s="153"/>
      <c r="N19" s="18" t="s">
        <v>14</v>
      </c>
      <c r="O19" s="31">
        <f t="shared" si="8"/>
        <v>0</v>
      </c>
      <c r="P19" s="46">
        <f t="shared" si="9"/>
        <v>0</v>
      </c>
      <c r="Q19" s="34">
        <f t="shared" si="6"/>
        <v>0</v>
      </c>
      <c r="R19" s="47">
        <f t="shared" si="10"/>
        <v>0</v>
      </c>
      <c r="S19" s="14">
        <f t="shared" si="7"/>
        <v>-430000</v>
      </c>
      <c r="T19" s="260">
        <f t="shared" si="11"/>
        <v>0</v>
      </c>
      <c r="U19" s="261"/>
      <c r="V19" s="41">
        <f t="shared" si="12"/>
        <v>0</v>
      </c>
      <c r="W19" s="285">
        <f t="shared" si="13"/>
        <v>0</v>
      </c>
      <c r="X19" s="286"/>
    </row>
    <row r="20" spans="1:27" ht="30" customHeight="1" thickTop="1" thickBot="1">
      <c r="A20" s="152"/>
      <c r="B20" s="12" t="s">
        <v>158</v>
      </c>
      <c r="G20" s="7"/>
      <c r="H20" s="7"/>
      <c r="I20" s="7"/>
      <c r="J20" s="7"/>
      <c r="K20" s="7"/>
      <c r="L20" s="153"/>
      <c r="N20" s="18" t="s">
        <v>17</v>
      </c>
      <c r="O20" s="31">
        <f t="shared" si="8"/>
        <v>0</v>
      </c>
      <c r="P20" s="46">
        <f t="shared" si="9"/>
        <v>0</v>
      </c>
      <c r="Q20" s="34">
        <f t="shared" si="6"/>
        <v>0</v>
      </c>
      <c r="R20" s="47">
        <f t="shared" si="10"/>
        <v>0</v>
      </c>
      <c r="S20" s="14">
        <f t="shared" si="7"/>
        <v>-430000</v>
      </c>
      <c r="T20" s="260">
        <f t="shared" si="11"/>
        <v>0</v>
      </c>
      <c r="U20" s="261"/>
      <c r="V20" s="41">
        <f t="shared" si="12"/>
        <v>0</v>
      </c>
      <c r="W20" s="285">
        <f t="shared" si="13"/>
        <v>0</v>
      </c>
      <c r="X20" s="286"/>
    </row>
    <row r="21" spans="1:27" ht="30" customHeight="1" thickTop="1" thickBot="1">
      <c r="A21" s="152"/>
      <c r="B21" s="169" t="s">
        <v>175</v>
      </c>
      <c r="L21" s="153"/>
      <c r="N21" s="10" t="s">
        <v>16</v>
      </c>
      <c r="O21" s="31">
        <f t="shared" si="8"/>
        <v>0</v>
      </c>
      <c r="P21" s="46">
        <f t="shared" si="9"/>
        <v>0</v>
      </c>
      <c r="Q21" s="34">
        <f t="shared" si="6"/>
        <v>0</v>
      </c>
      <c r="R21" s="47">
        <f t="shared" si="10"/>
        <v>0</v>
      </c>
      <c r="S21" s="14">
        <f t="shared" si="7"/>
        <v>-430000</v>
      </c>
      <c r="T21" s="180">
        <f t="shared" si="11"/>
        <v>0</v>
      </c>
      <c r="U21" s="181"/>
      <c r="V21" s="41">
        <f t="shared" si="12"/>
        <v>0</v>
      </c>
      <c r="W21" s="273">
        <f t="shared" si="13"/>
        <v>0</v>
      </c>
      <c r="X21" s="273"/>
    </row>
    <row r="22" spans="1:27" ht="30" customHeight="1" thickTop="1" thickBot="1">
      <c r="A22" s="152"/>
      <c r="B22" s="12" t="s">
        <v>88</v>
      </c>
      <c r="L22" s="153"/>
      <c r="N22" s="37" t="s">
        <v>18</v>
      </c>
      <c r="O22" s="35"/>
      <c r="P22" s="39"/>
      <c r="Q22" s="44"/>
      <c r="R22" s="55"/>
      <c r="S22" s="36"/>
      <c r="T22" s="268">
        <f>SUM(T16:T21)</f>
        <v>0</v>
      </c>
      <c r="U22" s="269"/>
      <c r="V22" s="43"/>
      <c r="W22" s="274">
        <f>SUM(W16:W21)</f>
        <v>0</v>
      </c>
      <c r="X22" s="274"/>
    </row>
    <row r="23" spans="1:27" ht="30" customHeight="1">
      <c r="A23" s="152"/>
      <c r="B23" s="12" t="s">
        <v>34</v>
      </c>
      <c r="L23" s="153"/>
    </row>
    <row r="24" spans="1:27" ht="30" customHeight="1" thickBot="1">
      <c r="A24" s="152"/>
      <c r="B24" s="12" t="s">
        <v>33</v>
      </c>
      <c r="L24" s="153"/>
      <c r="N24" s="2" t="s">
        <v>60</v>
      </c>
      <c r="T24" s="15"/>
      <c r="U24" s="15"/>
      <c r="V24" s="16"/>
    </row>
    <row r="25" spans="1:27" ht="30" customHeight="1">
      <c r="A25" s="152"/>
      <c r="B25" s="146" t="s">
        <v>164</v>
      </c>
      <c r="C25" s="147"/>
      <c r="D25" s="147"/>
      <c r="E25" s="147"/>
      <c r="F25" s="147"/>
      <c r="G25" s="147"/>
      <c r="H25" s="147"/>
      <c r="I25" s="147"/>
      <c r="J25" s="147"/>
      <c r="K25" s="147"/>
      <c r="L25" s="170"/>
      <c r="M25" s="9"/>
      <c r="O25" s="18" t="s">
        <v>69</v>
      </c>
      <c r="P25" s="18" t="s">
        <v>70</v>
      </c>
      <c r="Q25" s="18" t="s">
        <v>55</v>
      </c>
      <c r="R25" s="18" t="s">
        <v>72</v>
      </c>
      <c r="S25" s="56" t="s">
        <v>74</v>
      </c>
      <c r="T25" s="254" t="s">
        <v>80</v>
      </c>
      <c r="U25" s="255"/>
      <c r="V25" s="57" t="s">
        <v>78</v>
      </c>
      <c r="W25" s="18" t="s">
        <v>97</v>
      </c>
      <c r="X25" s="18" t="s">
        <v>96</v>
      </c>
      <c r="Y25" s="18" t="s">
        <v>99</v>
      </c>
      <c r="Z25" s="18" t="s">
        <v>105</v>
      </c>
      <c r="AA25" s="45" t="s">
        <v>81</v>
      </c>
    </row>
    <row r="26" spans="1:27" ht="30" customHeight="1" thickBot="1">
      <c r="A26" s="152"/>
      <c r="B26" s="171" t="s">
        <v>177</v>
      </c>
      <c r="C26" s="62"/>
      <c r="D26" s="62"/>
      <c r="E26" s="62"/>
      <c r="F26" s="62"/>
      <c r="G26" s="62"/>
      <c r="H26" s="62"/>
      <c r="I26" s="62"/>
      <c r="J26" s="62"/>
      <c r="K26" s="62"/>
      <c r="L26" s="153"/>
      <c r="M26" s="9"/>
      <c r="N26" s="26"/>
      <c r="O26" s="38" t="s">
        <v>76</v>
      </c>
      <c r="P26" s="38" t="s">
        <v>49</v>
      </c>
      <c r="Q26" s="38" t="s">
        <v>67</v>
      </c>
      <c r="R26" s="38" t="s">
        <v>58</v>
      </c>
      <c r="S26" s="58" t="s">
        <v>71</v>
      </c>
      <c r="T26" s="256" t="s">
        <v>35</v>
      </c>
      <c r="U26" s="257"/>
      <c r="V26" s="59" t="s">
        <v>73</v>
      </c>
      <c r="W26" s="134" t="s">
        <v>95</v>
      </c>
      <c r="X26" s="135" t="s">
        <v>98</v>
      </c>
      <c r="Y26" s="38" t="s">
        <v>100</v>
      </c>
      <c r="Z26" s="38" t="s">
        <v>75</v>
      </c>
    </row>
    <row r="27" spans="1:27" ht="30" customHeight="1" thickTop="1">
      <c r="A27" s="152"/>
      <c r="B27" s="171" t="s">
        <v>122</v>
      </c>
      <c r="C27" s="62"/>
      <c r="D27" s="62"/>
      <c r="E27" s="62"/>
      <c r="F27" s="62"/>
      <c r="G27" s="62"/>
      <c r="H27" s="62"/>
      <c r="I27" s="62"/>
      <c r="J27" s="62"/>
      <c r="K27" s="62"/>
      <c r="L27" s="153"/>
      <c r="M27" s="9"/>
      <c r="N27" s="37" t="s">
        <v>42</v>
      </c>
      <c r="O27" s="49">
        <f>IF(C11="",0,1)</f>
        <v>0</v>
      </c>
      <c r="P27" s="49">
        <f>IF(D11="",0,1)</f>
        <v>0</v>
      </c>
      <c r="Q27" s="14">
        <f t="shared" ref="Q27:Q32" si="14">I11</f>
        <v>0</v>
      </c>
      <c r="R27" s="47">
        <f>IF(H11="〇",-E11*0.7,0)*IF(OR(D11="65～74才",D11="75才以上"),0,1)*IF(C11="擬主",0,1)</f>
        <v>0</v>
      </c>
      <c r="S27" s="50">
        <f>IF(F11&lt;150000,-F11,-150000)*IF(OR(D11="65～74才",D11="75才以上"),1,0)</f>
        <v>0</v>
      </c>
      <c r="T27" s="275">
        <f>IF(O27*P27*(Q27+R27+S27)&lt;0,0,O27*P27*(Q27+R27+S27))</f>
        <v>0</v>
      </c>
      <c r="U27" s="276"/>
      <c r="V27" s="51">
        <f>IF(OR(E11&gt;0,IF(OR(D11="65才～74才",D11="75才以上"),F11-150000,F11)&gt;0),1,0)*IF(C11="",0,1)</f>
        <v>0</v>
      </c>
      <c r="W27" s="31">
        <f>(O16*P16)-X27</f>
        <v>0</v>
      </c>
      <c r="X27" s="31">
        <f>IF(D11="0～6才(小学校入学前)",1,0)</f>
        <v>0</v>
      </c>
      <c r="Y27" s="31">
        <f>W27+X27</f>
        <v>0</v>
      </c>
      <c r="Z27" s="31">
        <f>O16*V16</f>
        <v>0</v>
      </c>
    </row>
    <row r="28" spans="1:27" ht="30" customHeight="1">
      <c r="A28" s="152"/>
      <c r="B28" s="171" t="s">
        <v>32</v>
      </c>
      <c r="C28" s="62"/>
      <c r="D28" s="62"/>
      <c r="E28" s="62"/>
      <c r="F28" s="62"/>
      <c r="G28" s="62"/>
      <c r="H28" s="62"/>
      <c r="I28" s="62"/>
      <c r="J28" s="62"/>
      <c r="K28" s="62"/>
      <c r="L28" s="153"/>
      <c r="M28" s="9"/>
      <c r="N28" s="18" t="s">
        <v>61</v>
      </c>
      <c r="O28" s="49">
        <f t="shared" ref="O28:O32" si="15">IF(C12="",0,1)</f>
        <v>0</v>
      </c>
      <c r="P28" s="49">
        <f t="shared" ref="P28:P32" si="16">IF(D12="",0,1)</f>
        <v>0</v>
      </c>
      <c r="Q28" s="8">
        <f t="shared" si="14"/>
        <v>0</v>
      </c>
      <c r="R28" s="47">
        <f t="shared" ref="R28:R32" si="17">IF(H12="〇",-E12*0.7,0)*IF(OR(D12="65～74才",D12="75才以上"),0,1)*IF(C12="擬主",0,1)</f>
        <v>0</v>
      </c>
      <c r="S28" s="50">
        <f t="shared" ref="S28:S32" si="18">IF(F12&lt;150000,-F12,-150000)*IF(OR(D12="65～74才",D12="75才以上"),1,0)</f>
        <v>0</v>
      </c>
      <c r="T28" s="262">
        <f t="shared" ref="T28:T32" si="19">IF(O28*P28*(Q28+R28+S28)&lt;0,0,O28*P28*(Q28+R28+S28))</f>
        <v>0</v>
      </c>
      <c r="U28" s="263"/>
      <c r="V28" s="51">
        <f t="shared" ref="V28:V32" si="20">IF(OR(E12&gt;0,IF(OR(D12="65才～74才",D12="75才以上"),F12-150000,F12)&gt;0),1,0)*IF(C12="",0,1)</f>
        <v>0</v>
      </c>
      <c r="W28" s="31">
        <f>(O17*P17)-X28</f>
        <v>0</v>
      </c>
      <c r="X28" s="31">
        <f t="shared" ref="X28:X32" si="21">IF(D12="0～6才(小学校入学前)",1,0)</f>
        <v>0</v>
      </c>
      <c r="Y28" s="31">
        <f>W28+X28</f>
        <v>0</v>
      </c>
      <c r="Z28" s="31">
        <f t="shared" ref="Z28:Z32" si="22">O17*V17</f>
        <v>0</v>
      </c>
    </row>
    <row r="29" spans="1:27" ht="30" customHeight="1">
      <c r="A29" s="152"/>
      <c r="B29" s="171" t="s">
        <v>115</v>
      </c>
      <c r="C29" s="62"/>
      <c r="D29" s="62"/>
      <c r="E29" s="62"/>
      <c r="F29" s="62"/>
      <c r="G29" s="62"/>
      <c r="H29" s="62"/>
      <c r="I29" s="62"/>
      <c r="J29" s="62"/>
      <c r="K29" s="62"/>
      <c r="L29" s="153"/>
      <c r="M29" s="9"/>
      <c r="N29" s="18" t="s">
        <v>62</v>
      </c>
      <c r="O29" s="49">
        <f t="shared" si="15"/>
        <v>0</v>
      </c>
      <c r="P29" s="49">
        <f t="shared" si="16"/>
        <v>0</v>
      </c>
      <c r="Q29" s="8">
        <f t="shared" si="14"/>
        <v>0</v>
      </c>
      <c r="R29" s="47">
        <f t="shared" si="17"/>
        <v>0</v>
      </c>
      <c r="S29" s="50">
        <f t="shared" si="18"/>
        <v>0</v>
      </c>
      <c r="T29" s="262">
        <f t="shared" si="19"/>
        <v>0</v>
      </c>
      <c r="U29" s="263"/>
      <c r="V29" s="51">
        <f t="shared" si="20"/>
        <v>0</v>
      </c>
      <c r="W29" s="31">
        <f t="shared" ref="W29:W32" si="23">(O18*P18)-X29</f>
        <v>0</v>
      </c>
      <c r="X29" s="31">
        <f t="shared" si="21"/>
        <v>0</v>
      </c>
      <c r="Y29" s="31">
        <f t="shared" ref="Y29:Y32" si="24">W29+X29</f>
        <v>0</v>
      </c>
      <c r="Z29" s="31">
        <f t="shared" si="22"/>
        <v>0</v>
      </c>
    </row>
    <row r="30" spans="1:27" ht="30" customHeight="1">
      <c r="A30" s="152"/>
      <c r="B30" s="171" t="s">
        <v>116</v>
      </c>
      <c r="C30" s="62"/>
      <c r="D30" s="62"/>
      <c r="E30" s="62"/>
      <c r="F30" s="62"/>
      <c r="G30" s="62"/>
      <c r="H30" s="62"/>
      <c r="I30" s="62"/>
      <c r="J30" s="62"/>
      <c r="K30" s="62"/>
      <c r="L30" s="153"/>
      <c r="M30" s="13"/>
      <c r="N30" s="18" t="s">
        <v>63</v>
      </c>
      <c r="O30" s="49">
        <f t="shared" si="15"/>
        <v>0</v>
      </c>
      <c r="P30" s="49">
        <f t="shared" si="16"/>
        <v>0</v>
      </c>
      <c r="Q30" s="8">
        <f t="shared" si="14"/>
        <v>0</v>
      </c>
      <c r="R30" s="47">
        <f t="shared" si="17"/>
        <v>0</v>
      </c>
      <c r="S30" s="50">
        <f t="shared" si="18"/>
        <v>0</v>
      </c>
      <c r="T30" s="262">
        <f t="shared" si="19"/>
        <v>0</v>
      </c>
      <c r="U30" s="263"/>
      <c r="V30" s="51">
        <f t="shared" si="20"/>
        <v>0</v>
      </c>
      <c r="W30" s="31">
        <f t="shared" si="23"/>
        <v>0</v>
      </c>
      <c r="X30" s="31">
        <f t="shared" si="21"/>
        <v>0</v>
      </c>
      <c r="Y30" s="31">
        <f t="shared" si="24"/>
        <v>0</v>
      </c>
      <c r="Z30" s="31">
        <f t="shared" si="22"/>
        <v>0</v>
      </c>
    </row>
    <row r="31" spans="1:27" ht="35.1" customHeight="1" thickBot="1">
      <c r="A31" s="157"/>
      <c r="B31" s="172"/>
      <c r="C31" s="172"/>
      <c r="D31" s="172"/>
      <c r="E31" s="172"/>
      <c r="F31" s="172"/>
      <c r="G31" s="172"/>
      <c r="H31" s="172"/>
      <c r="I31" s="172"/>
      <c r="J31" s="172"/>
      <c r="K31" s="172"/>
      <c r="L31" s="159"/>
      <c r="N31" s="18" t="s">
        <v>64</v>
      </c>
      <c r="O31" s="49">
        <f t="shared" si="15"/>
        <v>0</v>
      </c>
      <c r="P31" s="49">
        <f t="shared" si="16"/>
        <v>0</v>
      </c>
      <c r="Q31" s="8">
        <f t="shared" si="14"/>
        <v>0</v>
      </c>
      <c r="R31" s="47">
        <f t="shared" si="17"/>
        <v>0</v>
      </c>
      <c r="S31" s="50">
        <f t="shared" si="18"/>
        <v>0</v>
      </c>
      <c r="T31" s="262">
        <f t="shared" si="19"/>
        <v>0</v>
      </c>
      <c r="U31" s="263"/>
      <c r="V31" s="51">
        <f t="shared" si="20"/>
        <v>0</v>
      </c>
      <c r="W31" s="31">
        <f t="shared" si="23"/>
        <v>0</v>
      </c>
      <c r="X31" s="31">
        <f t="shared" si="21"/>
        <v>0</v>
      </c>
      <c r="Y31" s="31">
        <f t="shared" si="24"/>
        <v>0</v>
      </c>
      <c r="Z31" s="31">
        <f t="shared" si="22"/>
        <v>0</v>
      </c>
    </row>
    <row r="32" spans="1:27" ht="39.9" customHeight="1" thickBot="1">
      <c r="A32" s="148" t="s">
        <v>159</v>
      </c>
      <c r="B32" s="160"/>
      <c r="C32" s="160"/>
      <c r="D32" s="160"/>
      <c r="E32" s="160"/>
      <c r="F32" s="160"/>
      <c r="G32" s="161"/>
      <c r="H32" s="161"/>
      <c r="I32" s="149"/>
      <c r="J32" s="149"/>
      <c r="K32" s="149"/>
      <c r="L32" s="151"/>
      <c r="N32" s="10" t="s">
        <v>65</v>
      </c>
      <c r="O32" s="49">
        <f t="shared" si="15"/>
        <v>0</v>
      </c>
      <c r="P32" s="49">
        <f t="shared" si="16"/>
        <v>0</v>
      </c>
      <c r="Q32" s="11">
        <f t="shared" si="14"/>
        <v>0</v>
      </c>
      <c r="R32" s="47">
        <f t="shared" si="17"/>
        <v>0</v>
      </c>
      <c r="S32" s="50">
        <f t="shared" si="18"/>
        <v>0</v>
      </c>
      <c r="T32" s="178">
        <f t="shared" si="19"/>
        <v>0</v>
      </c>
      <c r="U32" s="179"/>
      <c r="V32" s="51">
        <f t="shared" si="20"/>
        <v>0</v>
      </c>
      <c r="W32" s="31">
        <f t="shared" si="23"/>
        <v>0</v>
      </c>
      <c r="X32" s="31">
        <f t="shared" si="21"/>
        <v>0</v>
      </c>
      <c r="Y32" s="26">
        <f t="shared" si="24"/>
        <v>0</v>
      </c>
      <c r="Z32" s="31">
        <f t="shared" si="22"/>
        <v>0</v>
      </c>
    </row>
    <row r="33" spans="1:27" ht="35.1" customHeight="1" thickTop="1" thickBot="1">
      <c r="A33" s="152"/>
      <c r="B33" s="201"/>
      <c r="C33" s="202"/>
      <c r="D33" s="203"/>
      <c r="E33" s="200" t="s">
        <v>189</v>
      </c>
      <c r="F33" s="200"/>
      <c r="G33" s="200" t="s">
        <v>190</v>
      </c>
      <c r="H33" s="200"/>
      <c r="I33" s="200" t="s">
        <v>191</v>
      </c>
      <c r="J33" s="200"/>
      <c r="L33" s="153"/>
      <c r="N33" s="37" t="s">
        <v>66</v>
      </c>
      <c r="O33" s="48"/>
      <c r="P33" s="48"/>
      <c r="Q33" s="35"/>
      <c r="R33" s="35"/>
      <c r="S33" s="39"/>
      <c r="T33" s="281">
        <f>SUM(T27:T32)</f>
        <v>0</v>
      </c>
      <c r="U33" s="282"/>
      <c r="V33" s="53">
        <f>SUM(V27:V32)</f>
        <v>0</v>
      </c>
      <c r="W33" s="54">
        <f>SUM(W27:W32)</f>
        <v>0</v>
      </c>
      <c r="X33" s="54">
        <f t="shared" ref="X33" si="25">SUM(X27:X32)</f>
        <v>0</v>
      </c>
      <c r="Y33" s="54">
        <f>SUM(Y27:Y32)</f>
        <v>0</v>
      </c>
      <c r="Z33" s="175">
        <f>SUM(Z27:Z32)</f>
        <v>0</v>
      </c>
      <c r="AA33" s="2">
        <f>IF(Z33=0,0,1)</f>
        <v>0</v>
      </c>
    </row>
    <row r="34" spans="1:27" ht="35.1" customHeight="1">
      <c r="A34" s="152"/>
      <c r="B34" s="287" t="s">
        <v>178</v>
      </c>
      <c r="C34" s="287"/>
      <c r="D34" s="287"/>
      <c r="E34" s="192">
        <f>ROUNDDOWN(T22*O3*IF(OR(C11="",D11=""),0,1),0)</f>
        <v>0</v>
      </c>
      <c r="F34" s="192"/>
      <c r="G34" s="192">
        <f>ROUNDDOWN(T22*P3*IF(OR(C11="",D11=""),0,1),0)</f>
        <v>0</v>
      </c>
      <c r="H34" s="192"/>
      <c r="I34" s="192">
        <f>ROUNDDOWN(W22*R3*IF(OR(C11="",D11=""),0,1),0)</f>
        <v>0</v>
      </c>
      <c r="J34" s="192"/>
      <c r="K34" s="16"/>
      <c r="L34" s="153"/>
      <c r="N34" s="3"/>
      <c r="O34" s="3"/>
      <c r="P34" s="3"/>
      <c r="T34" s="83"/>
      <c r="U34" s="83"/>
      <c r="V34" s="84"/>
      <c r="W34" s="85"/>
      <c r="X34" s="85"/>
      <c r="Y34" s="85"/>
      <c r="Z34" s="84"/>
    </row>
    <row r="35" spans="1:27" ht="30" customHeight="1">
      <c r="A35" s="152"/>
      <c r="B35" s="197" t="s">
        <v>6</v>
      </c>
      <c r="C35" s="197"/>
      <c r="D35" s="197"/>
      <c r="E35" s="192">
        <f>IF(V39="○",Z3,IF(W39="○",Z4,IF(X39="○",Z5,O4)))*W33*IF(OR(C11="",D11=""),0,1)+IF(V39="○",U9,IF(W39="○",U10,IF(X39="○",U11,U8)))*X33*IF(OR(C11="",D11=""),0,1)</f>
        <v>0</v>
      </c>
      <c r="F35" s="192"/>
      <c r="G35" s="192">
        <f>IF(V39="○",AA3,IF(W39="○",AA4,IF(X39="○",AA5,P4)))*W33*IF(OR(C11="",D11=""),0,1)+IF(V39="○",V9,IF(W39="○",V10,IF(X39="○",V11,V8)))*X33*IF(OR(C11="",D11=""),0,1)</f>
        <v>0</v>
      </c>
      <c r="H35" s="192"/>
      <c r="I35" s="192">
        <f>IF(V39="○",AC3,IF(W39="○",AC4,IF(X39="○",AC5,R4)))*Z33*IF(OR(C11="",D11=""),0,1)</f>
        <v>0</v>
      </c>
      <c r="J35" s="192"/>
      <c r="K35" s="115" t="str">
        <f>IF(COUNTIF(H12:H16,"〇")&gt;0,"※給与所得30/100入力有","")</f>
        <v/>
      </c>
      <c r="L35" s="153"/>
    </row>
    <row r="36" spans="1:27" ht="30" customHeight="1">
      <c r="A36" s="152"/>
      <c r="B36" s="197" t="s">
        <v>123</v>
      </c>
      <c r="C36" s="197"/>
      <c r="D36" s="197"/>
      <c r="E36" s="190">
        <f>IF(V39="○",U3,IF(W39="○",U4,IF(X39="○",U5,U2)))</f>
        <v>10050</v>
      </c>
      <c r="F36" s="191"/>
      <c r="G36" s="190">
        <f>IF(V39="○",V3,IF(W39="○",V4,IF(X39="○",V5,V2)))</f>
        <v>3090</v>
      </c>
      <c r="H36" s="191"/>
      <c r="I36" s="190">
        <f>IF(V39="○",W3,IF(W39="○",W4,IF(X39="○",W5,W2)))*AA33*IF(OR(C11="",D11=""),0,1)</f>
        <v>0</v>
      </c>
      <c r="J36" s="191"/>
      <c r="K36" s="93"/>
      <c r="L36" s="153"/>
      <c r="N36" s="62" t="s">
        <v>166</v>
      </c>
      <c r="O36" s="62"/>
    </row>
    <row r="37" spans="1:27" ht="39.9" customHeight="1" thickBot="1">
      <c r="A37" s="152"/>
      <c r="B37" s="249" t="s">
        <v>11</v>
      </c>
      <c r="C37" s="249"/>
      <c r="D37" s="249"/>
      <c r="E37" s="193">
        <f>ROUNDDOWN(IF((E34+E35+E36)&gt;O5,O5,E34+E35+E36),-2)</f>
        <v>10000</v>
      </c>
      <c r="F37" s="193"/>
      <c r="G37" s="193">
        <f>ROUNDDOWN(IF((G34+G35+G36)&gt;P5,P5,G34+G35+G36),-2)</f>
        <v>3000</v>
      </c>
      <c r="H37" s="193"/>
      <c r="I37" s="193">
        <f>ROUNDDOWN(IF((I34+I35+I36)&gt;R5,R5,I34+I35+I36),-2)</f>
        <v>0</v>
      </c>
      <c r="J37" s="193"/>
      <c r="L37" s="153"/>
      <c r="N37" s="5"/>
      <c r="O37" s="18" t="s">
        <v>0</v>
      </c>
      <c r="P37" s="18" t="s">
        <v>1</v>
      </c>
      <c r="Q37" s="18" t="s">
        <v>2</v>
      </c>
    </row>
    <row r="38" spans="1:27" ht="30" customHeight="1">
      <c r="A38" s="152"/>
      <c r="B38" s="248" t="s">
        <v>160</v>
      </c>
      <c r="C38" s="248"/>
      <c r="D38" s="248"/>
      <c r="E38" s="247">
        <v>660000</v>
      </c>
      <c r="F38" s="247"/>
      <c r="G38" s="247">
        <v>260000</v>
      </c>
      <c r="H38" s="247"/>
      <c r="I38" s="247">
        <v>170000</v>
      </c>
      <c r="J38" s="247"/>
      <c r="L38" s="153"/>
      <c r="N38" s="5" t="s">
        <v>7</v>
      </c>
      <c r="O38" s="32">
        <v>430000</v>
      </c>
      <c r="P38" s="32">
        <v>430000</v>
      </c>
      <c r="Q38" s="32">
        <v>430000</v>
      </c>
      <c r="S38" s="277" t="s">
        <v>106</v>
      </c>
      <c r="T38" s="278"/>
      <c r="U38" s="272" t="s">
        <v>84</v>
      </c>
      <c r="V38" s="18" t="s">
        <v>0</v>
      </c>
      <c r="W38" s="18" t="s">
        <v>1</v>
      </c>
      <c r="X38" s="18" t="s">
        <v>2</v>
      </c>
    </row>
    <row r="39" spans="1:27" ht="30" customHeight="1" thickBot="1">
      <c r="A39" s="152"/>
      <c r="L39" s="153"/>
      <c r="N39" s="6" t="s">
        <v>8</v>
      </c>
      <c r="O39" s="33" t="s">
        <v>9</v>
      </c>
      <c r="P39" s="32">
        <v>305000</v>
      </c>
      <c r="Q39" s="32">
        <v>560000</v>
      </c>
      <c r="S39" s="279" t="s">
        <v>82</v>
      </c>
      <c r="T39" s="280"/>
      <c r="U39" s="272"/>
      <c r="V39" s="18" t="str">
        <f>IF(S40&lt;=O38,"○","✖")</f>
        <v>○</v>
      </c>
      <c r="W39" s="18" t="str">
        <f>IF(AND(O38&lt;S40,S40&lt;=(P38+(P39*Y33))),"○","✖")</f>
        <v>✖</v>
      </c>
      <c r="X39" s="18" t="str">
        <f>IF(AND(P38+(P39*Y33)&lt;S40,S40&lt;=Q38+(Q39*Y33)),"○","✖")</f>
        <v>✖</v>
      </c>
    </row>
    <row r="40" spans="1:27" ht="30" customHeight="1" thickBot="1">
      <c r="A40" s="152"/>
      <c r="B40" s="244" t="s">
        <v>132</v>
      </c>
      <c r="C40" s="245"/>
      <c r="D40" s="245"/>
      <c r="E40" s="245"/>
      <c r="F40" s="246"/>
      <c r="G40" s="187">
        <f>IF(E35=0,0,SUM(E37:J37))</f>
        <v>0</v>
      </c>
      <c r="H40" s="188"/>
      <c r="I40" s="188"/>
      <c r="J40" s="189"/>
      <c r="L40" s="153"/>
      <c r="N40" s="283" t="s">
        <v>83</v>
      </c>
      <c r="O40" s="201" t="s">
        <v>47</v>
      </c>
      <c r="P40" s="202"/>
      <c r="Q40" s="203"/>
      <c r="S40" s="270">
        <f>T33-O41</f>
        <v>0</v>
      </c>
      <c r="T40" s="271"/>
      <c r="Z40" s="52"/>
      <c r="AA40" s="52"/>
    </row>
    <row r="41" spans="1:27" ht="30" customHeight="1">
      <c r="A41" s="152"/>
      <c r="B41" s="144" t="s">
        <v>156</v>
      </c>
      <c r="L41" s="153"/>
      <c r="N41" s="284"/>
      <c r="O41" s="184">
        <f>IF(V33&lt;2,0,(V33-1)*100000)</f>
        <v>0</v>
      </c>
      <c r="P41" s="185"/>
      <c r="Q41" s="186"/>
      <c r="Y41" s="52"/>
      <c r="Z41" s="52"/>
      <c r="AA41" s="52"/>
    </row>
    <row r="42" spans="1:27" ht="30" customHeight="1">
      <c r="A42" s="152"/>
      <c r="B42" s="144" t="s">
        <v>197</v>
      </c>
      <c r="H42" s="1"/>
      <c r="I42" s="1"/>
      <c r="J42" s="1"/>
      <c r="L42" s="153"/>
      <c r="Y42" s="52"/>
      <c r="Z42" s="52"/>
      <c r="AA42" s="52"/>
    </row>
    <row r="43" spans="1:27" ht="39.9" customHeight="1">
      <c r="A43" s="152"/>
      <c r="B43" s="144" t="s">
        <v>154</v>
      </c>
      <c r="C43" s="1"/>
      <c r="D43" s="1"/>
      <c r="E43" s="1"/>
      <c r="F43" s="1"/>
      <c r="L43" s="153"/>
      <c r="N43" s="62" t="s">
        <v>102</v>
      </c>
      <c r="O43" s="45"/>
      <c r="P43" s="45"/>
      <c r="Q43" s="45"/>
      <c r="R43" s="45"/>
      <c r="S43" s="45"/>
      <c r="T43" s="45"/>
      <c r="U43" s="45"/>
      <c r="V43" s="45"/>
      <c r="W43" s="45"/>
      <c r="X43" s="45"/>
      <c r="Y43" s="76"/>
      <c r="Z43" s="76"/>
      <c r="AA43" s="76"/>
    </row>
    <row r="44" spans="1:27" ht="30" customHeight="1" thickBot="1">
      <c r="A44" s="152"/>
      <c r="B44" s="144" t="s">
        <v>155</v>
      </c>
      <c r="C44" s="1"/>
      <c r="D44" s="1"/>
      <c r="E44" s="1"/>
      <c r="F44" s="1"/>
      <c r="L44" s="153"/>
      <c r="N44" s="62" t="s">
        <v>110</v>
      </c>
      <c r="O44" s="45"/>
      <c r="P44" s="62" t="s">
        <v>112</v>
      </c>
      <c r="Q44" s="62"/>
      <c r="R44" s="62"/>
      <c r="S44" s="62"/>
      <c r="T44" s="62"/>
      <c r="U44" s="62"/>
      <c r="V44" s="62"/>
      <c r="W44" s="62"/>
      <c r="X44" s="62"/>
      <c r="Y44" s="137"/>
      <c r="Z44" s="137"/>
      <c r="AA44" s="137"/>
    </row>
    <row r="45" spans="1:27" ht="21.75" customHeight="1" thickBot="1">
      <c r="A45" s="157"/>
      <c r="B45" s="162" t="s">
        <v>133</v>
      </c>
      <c r="C45" s="163"/>
      <c r="D45" s="164"/>
      <c r="E45" s="164"/>
      <c r="F45" s="164"/>
      <c r="G45" s="164"/>
      <c r="H45" s="165"/>
      <c r="I45" s="164"/>
      <c r="J45" s="164"/>
      <c r="K45" s="158"/>
      <c r="L45" s="159"/>
      <c r="N45" s="136">
        <f>IF(G49="","",MONTH(G49))</f>
        <v>4</v>
      </c>
      <c r="O45" s="45"/>
      <c r="P45" s="138">
        <v>4</v>
      </c>
      <c r="Q45" s="138">
        <v>5</v>
      </c>
      <c r="R45" s="138">
        <v>6</v>
      </c>
      <c r="S45" s="138">
        <v>7</v>
      </c>
      <c r="T45" s="138">
        <v>8</v>
      </c>
      <c r="U45" s="138">
        <v>9</v>
      </c>
      <c r="V45" s="138">
        <v>10</v>
      </c>
      <c r="W45" s="138">
        <v>11</v>
      </c>
      <c r="X45" s="138">
        <v>12</v>
      </c>
      <c r="Y45" s="138">
        <v>1</v>
      </c>
      <c r="Z45" s="138">
        <v>2</v>
      </c>
      <c r="AA45" s="138">
        <v>3</v>
      </c>
    </row>
    <row r="46" spans="1:27" ht="21.75" customHeight="1" thickBot="1">
      <c r="A46" s="148" t="s">
        <v>157</v>
      </c>
      <c r="B46" s="149"/>
      <c r="C46" s="149"/>
      <c r="D46" s="149"/>
      <c r="E46" s="149"/>
      <c r="F46" s="149"/>
      <c r="G46" s="149"/>
      <c r="H46" s="149"/>
      <c r="I46" s="150"/>
      <c r="J46" s="150"/>
      <c r="K46" s="149"/>
      <c r="L46" s="151"/>
      <c r="N46" s="62" t="s">
        <v>111</v>
      </c>
      <c r="O46" s="45"/>
      <c r="P46" s="139">
        <v>12</v>
      </c>
      <c r="Q46" s="140">
        <v>11</v>
      </c>
      <c r="R46" s="140">
        <v>10</v>
      </c>
      <c r="S46" s="140">
        <v>9</v>
      </c>
      <c r="T46" s="140">
        <v>8</v>
      </c>
      <c r="U46" s="140">
        <v>7</v>
      </c>
      <c r="V46" s="140">
        <v>6</v>
      </c>
      <c r="W46" s="140">
        <v>5</v>
      </c>
      <c r="X46" s="140">
        <v>4</v>
      </c>
      <c r="Y46" s="140">
        <v>3</v>
      </c>
      <c r="Z46" s="140">
        <v>2</v>
      </c>
      <c r="AA46" s="141">
        <v>1</v>
      </c>
    </row>
    <row r="47" spans="1:27">
      <c r="A47" s="152"/>
      <c r="I47" s="15"/>
      <c r="J47" s="15"/>
      <c r="L47" s="153"/>
      <c r="N47" s="182">
        <f>IF(N45="",12,HLOOKUP(N45,P45:AA46,2,0))</f>
        <v>12</v>
      </c>
      <c r="O47" s="45"/>
      <c r="P47" s="77"/>
      <c r="Q47" s="77"/>
      <c r="R47" s="77"/>
      <c r="S47" s="77"/>
      <c r="T47" s="45"/>
      <c r="U47" s="45"/>
      <c r="V47" s="45"/>
      <c r="W47" s="45"/>
      <c r="X47" s="45"/>
      <c r="Y47" s="76"/>
      <c r="Z47" s="45"/>
      <c r="AA47" s="45"/>
    </row>
    <row r="48" spans="1:27" ht="9.75" customHeight="1" thickBot="1">
      <c r="A48" s="152"/>
      <c r="L48" s="153"/>
      <c r="N48" s="183"/>
      <c r="O48" s="45"/>
      <c r="P48" s="142" t="s">
        <v>167</v>
      </c>
      <c r="Q48" s="142"/>
      <c r="R48" s="77"/>
      <c r="S48" s="77"/>
      <c r="T48" s="45"/>
      <c r="U48" s="45"/>
      <c r="V48" s="45"/>
      <c r="W48" s="45"/>
      <c r="X48" s="45"/>
      <c r="Y48" s="45"/>
      <c r="Z48" s="45"/>
      <c r="AA48" s="45"/>
    </row>
    <row r="49" spans="1:27" ht="24" customHeight="1">
      <c r="A49" s="152"/>
      <c r="B49" s="210" t="s">
        <v>101</v>
      </c>
      <c r="C49" s="211"/>
      <c r="D49" s="211"/>
      <c r="E49" s="211"/>
      <c r="F49" s="212"/>
      <c r="G49" s="216">
        <v>45383</v>
      </c>
      <c r="H49" s="217"/>
      <c r="I49" s="217"/>
      <c r="J49" s="218"/>
      <c r="L49" s="153"/>
      <c r="N49" s="77"/>
      <c r="O49" s="45"/>
      <c r="P49" s="70" t="s">
        <v>109</v>
      </c>
      <c r="Q49" s="75">
        <v>2025</v>
      </c>
      <c r="R49" s="75">
        <v>4</v>
      </c>
      <c r="S49" s="77"/>
      <c r="T49" s="45"/>
      <c r="U49" s="45"/>
      <c r="V49" s="45"/>
      <c r="W49" s="45"/>
      <c r="X49" s="45"/>
      <c r="Y49" s="45"/>
      <c r="Z49" s="45"/>
      <c r="AA49" s="45"/>
    </row>
    <row r="50" spans="1:27" ht="21.75" customHeight="1" thickBot="1">
      <c r="A50" s="152"/>
      <c r="B50" s="213"/>
      <c r="C50" s="214"/>
      <c r="D50" s="214"/>
      <c r="E50" s="214"/>
      <c r="F50" s="215"/>
      <c r="G50" s="219"/>
      <c r="H50" s="220"/>
      <c r="I50" s="220"/>
      <c r="J50" s="221"/>
      <c r="L50" s="153"/>
      <c r="M50" s="1"/>
      <c r="N50" s="77"/>
      <c r="O50" s="45"/>
      <c r="P50" s="70" t="s">
        <v>108</v>
      </c>
      <c r="Q50" s="75">
        <f>Q49+1</f>
        <v>2026</v>
      </c>
      <c r="R50" s="75">
        <v>3</v>
      </c>
      <c r="S50" s="77"/>
      <c r="T50" s="45"/>
      <c r="U50" s="45"/>
      <c r="V50" s="45"/>
      <c r="W50" s="45"/>
      <c r="X50" s="45"/>
    </row>
    <row r="51" spans="1:27" ht="21.75" customHeight="1">
      <c r="A51" s="152"/>
      <c r="B51" s="143" t="s">
        <v>113</v>
      </c>
      <c r="L51" s="153"/>
      <c r="N51" s="99" t="s">
        <v>161</v>
      </c>
      <c r="O51" s="62"/>
      <c r="P51" s="99"/>
      <c r="Q51" s="77"/>
      <c r="R51" s="77"/>
      <c r="S51" s="77"/>
      <c r="T51" s="45"/>
      <c r="U51" s="45"/>
      <c r="V51" s="45"/>
      <c r="W51" s="45"/>
      <c r="X51" s="45"/>
    </row>
    <row r="52" spans="1:27" ht="21.75" customHeight="1">
      <c r="A52" s="152"/>
      <c r="B52" s="224" t="s">
        <v>107</v>
      </c>
      <c r="C52" s="226"/>
      <c r="D52" s="224" t="s">
        <v>109</v>
      </c>
      <c r="E52" s="228" t="str">
        <f>IF(N45="",Q49&amp;"年"&amp;R49&amp;"月",IF(OR((N45=1),(N45=2),(N45=3)),(Q50&amp;"年"&amp;N45&amp;"月"),Q49&amp;"年"&amp;N45&amp;"月"))</f>
        <v>2025年4月</v>
      </c>
      <c r="F52" s="229"/>
      <c r="G52" s="224" t="s">
        <v>108</v>
      </c>
      <c r="H52" s="232" t="str">
        <f>Q50&amp;"年"&amp;R50&amp;"月"</f>
        <v>2026年3月</v>
      </c>
      <c r="I52" s="233"/>
      <c r="J52" s="80"/>
      <c r="L52" s="153"/>
      <c r="N52" s="70" t="s">
        <v>162</v>
      </c>
      <c r="O52" s="70" t="s">
        <v>163</v>
      </c>
      <c r="P52" s="70" t="s">
        <v>129</v>
      </c>
      <c r="Q52" s="77"/>
      <c r="R52" s="77"/>
      <c r="S52" s="77"/>
      <c r="T52" s="45"/>
      <c r="U52" s="45"/>
      <c r="V52" s="45"/>
      <c r="W52" s="45"/>
      <c r="X52" s="45"/>
    </row>
    <row r="53" spans="1:27" ht="21.75" customHeight="1">
      <c r="A53" s="152"/>
      <c r="B53" s="225"/>
      <c r="C53" s="227"/>
      <c r="D53" s="225"/>
      <c r="E53" s="230"/>
      <c r="F53" s="231"/>
      <c r="G53" s="225"/>
      <c r="H53" s="225"/>
      <c r="I53" s="234"/>
      <c r="J53" s="80"/>
      <c r="L53" s="153"/>
      <c r="N53" s="70">
        <f>ROUNDDOWN(E37*N47/12,-2)</f>
        <v>10000</v>
      </c>
      <c r="O53" s="70">
        <f>ROUNDDOWN(G37*N47/12,-2)</f>
        <v>3000</v>
      </c>
      <c r="P53" s="70">
        <f>ROUNDDOWN(I37*N47/12,-2)</f>
        <v>0</v>
      </c>
      <c r="Q53" s="77"/>
      <c r="R53" s="77"/>
      <c r="S53" s="77"/>
      <c r="T53" s="45"/>
      <c r="U53" s="45"/>
      <c r="V53" s="45"/>
      <c r="W53" s="45"/>
      <c r="X53" s="45"/>
    </row>
    <row r="54" spans="1:27" ht="21.75" customHeight="1" thickBot="1">
      <c r="A54" s="152"/>
      <c r="L54" s="153"/>
      <c r="N54" s="243">
        <f>SUM(N53:P53)</f>
        <v>13000</v>
      </c>
      <c r="O54" s="243"/>
      <c r="P54" s="243"/>
      <c r="Q54" s="77"/>
      <c r="R54" s="77"/>
      <c r="S54" s="77"/>
      <c r="T54" s="45"/>
      <c r="U54" s="45"/>
      <c r="V54" s="45"/>
      <c r="W54" s="45"/>
      <c r="X54" s="45"/>
    </row>
    <row r="55" spans="1:27" ht="21.75" customHeight="1">
      <c r="A55" s="152"/>
      <c r="B55" s="235" t="s">
        <v>135</v>
      </c>
      <c r="C55" s="236"/>
      <c r="D55" s="236"/>
      <c r="E55" s="241">
        <f>N47</f>
        <v>12</v>
      </c>
      <c r="F55" s="239" t="s">
        <v>136</v>
      </c>
      <c r="G55" s="204">
        <f>IF(G49="","0円",N54)</f>
        <v>13000</v>
      </c>
      <c r="H55" s="205"/>
      <c r="I55" s="205"/>
      <c r="J55" s="206"/>
      <c r="L55" s="153"/>
      <c r="N55" s="77"/>
      <c r="O55" s="45"/>
      <c r="P55" s="77"/>
      <c r="Q55" s="77"/>
      <c r="R55" s="77"/>
      <c r="S55" s="77"/>
      <c r="T55" s="45"/>
      <c r="U55" s="45"/>
      <c r="V55" s="45"/>
      <c r="W55" s="45"/>
      <c r="X55" s="45"/>
    </row>
    <row r="56" spans="1:27" ht="18" customHeight="1" thickBot="1">
      <c r="A56" s="152"/>
      <c r="B56" s="237"/>
      <c r="C56" s="238"/>
      <c r="D56" s="238"/>
      <c r="E56" s="242"/>
      <c r="F56" s="240"/>
      <c r="G56" s="207"/>
      <c r="H56" s="208"/>
      <c r="I56" s="208"/>
      <c r="J56" s="209"/>
      <c r="L56" s="153"/>
      <c r="O56" s="45"/>
      <c r="P56" s="77"/>
      <c r="Q56" s="77"/>
      <c r="R56" s="77"/>
      <c r="S56" s="77"/>
      <c r="T56" s="45"/>
      <c r="U56" s="45"/>
      <c r="V56" s="45"/>
      <c r="W56" s="45"/>
      <c r="X56" s="45"/>
    </row>
    <row r="57" spans="1:27" ht="21.75" customHeight="1" thickBot="1">
      <c r="A57" s="152"/>
      <c r="B57" s="78"/>
      <c r="C57" s="78"/>
      <c r="D57" s="78"/>
      <c r="E57" s="78"/>
      <c r="F57" s="78"/>
      <c r="G57" s="79"/>
      <c r="H57" s="79"/>
      <c r="I57" s="79"/>
      <c r="J57" s="79"/>
      <c r="L57" s="153"/>
      <c r="P57" s="3"/>
      <c r="Q57" s="3"/>
      <c r="R57" s="3"/>
      <c r="S57" s="3"/>
    </row>
    <row r="58" spans="1:27" ht="21.75" customHeight="1">
      <c r="A58" s="152"/>
      <c r="B58" s="210" t="s">
        <v>153</v>
      </c>
      <c r="C58" s="211"/>
      <c r="D58" s="211"/>
      <c r="E58" s="211"/>
      <c r="F58" s="211"/>
      <c r="G58" s="204">
        <f>IF(G49="",G40,IFERROR(ROUNDUP((G55/E55),0),"0円"))</f>
        <v>1084</v>
      </c>
      <c r="H58" s="205"/>
      <c r="I58" s="205"/>
      <c r="J58" s="206"/>
      <c r="L58" s="153"/>
      <c r="N58" s="222"/>
      <c r="O58" s="222"/>
      <c r="P58" s="222"/>
      <c r="Q58" s="222"/>
      <c r="R58" s="222"/>
      <c r="S58" s="222"/>
      <c r="T58" s="222"/>
      <c r="U58" s="222"/>
      <c r="V58" s="222"/>
      <c r="W58" s="222"/>
      <c r="X58" s="222"/>
    </row>
    <row r="59" spans="1:27" ht="21.75" customHeight="1" thickBot="1">
      <c r="A59" s="152"/>
      <c r="B59" s="213"/>
      <c r="C59" s="214"/>
      <c r="D59" s="214"/>
      <c r="E59" s="214"/>
      <c r="F59" s="214"/>
      <c r="G59" s="207"/>
      <c r="H59" s="208"/>
      <c r="I59" s="208"/>
      <c r="J59" s="209"/>
      <c r="L59" s="153"/>
      <c r="N59" s="223"/>
      <c r="O59" s="223"/>
      <c r="P59" s="223"/>
      <c r="Q59" s="223"/>
      <c r="R59" s="223"/>
      <c r="S59" s="223"/>
      <c r="T59" s="223"/>
      <c r="U59" s="223"/>
      <c r="V59" s="223"/>
      <c r="W59" s="223"/>
      <c r="X59" s="223"/>
    </row>
    <row r="60" spans="1:27" ht="21.75" customHeight="1">
      <c r="A60" s="152"/>
      <c r="B60" s="144" t="s">
        <v>103</v>
      </c>
      <c r="L60" s="153"/>
      <c r="N60" s="223"/>
      <c r="O60" s="223"/>
      <c r="P60" s="223"/>
      <c r="Q60" s="223"/>
      <c r="R60" s="223"/>
      <c r="S60" s="223"/>
      <c r="T60" s="223"/>
      <c r="U60" s="223"/>
      <c r="V60" s="223"/>
      <c r="W60" s="223"/>
      <c r="X60" s="223"/>
    </row>
    <row r="61" spans="1:27" ht="14.4">
      <c r="A61" s="152"/>
      <c r="B61" s="144" t="s">
        <v>124</v>
      </c>
      <c r="L61" s="153"/>
      <c r="N61" s="223"/>
      <c r="O61" s="223"/>
      <c r="P61" s="223"/>
      <c r="Q61" s="223"/>
      <c r="R61" s="223"/>
      <c r="S61" s="223"/>
      <c r="T61" s="223"/>
      <c r="U61" s="223"/>
      <c r="V61" s="223"/>
      <c r="W61" s="223"/>
      <c r="X61" s="223"/>
    </row>
    <row r="62" spans="1:27" ht="19.5" customHeight="1">
      <c r="A62" s="152"/>
      <c r="B62" s="144" t="s">
        <v>200</v>
      </c>
      <c r="C62" s="144"/>
      <c r="D62" s="1"/>
      <c r="E62" s="1"/>
      <c r="F62" s="1"/>
      <c r="G62" s="1"/>
      <c r="H62" s="1"/>
      <c r="I62" s="1"/>
      <c r="J62" s="1"/>
      <c r="L62" s="153"/>
      <c r="M62" s="1"/>
      <c r="N62" s="223"/>
      <c r="O62" s="223"/>
      <c r="P62" s="223"/>
      <c r="Q62" s="223"/>
      <c r="R62" s="223"/>
      <c r="S62" s="223"/>
      <c r="T62" s="223"/>
      <c r="U62" s="223"/>
      <c r="V62" s="223"/>
      <c r="W62" s="223"/>
      <c r="X62" s="223"/>
    </row>
    <row r="63" spans="1:27" ht="19.5" customHeight="1">
      <c r="A63" s="152"/>
      <c r="C63" s="145" t="s">
        <v>201</v>
      </c>
      <c r="K63" s="45"/>
      <c r="L63" s="153"/>
      <c r="M63" s="1"/>
      <c r="N63" s="223"/>
      <c r="O63" s="223"/>
      <c r="P63" s="223"/>
      <c r="Q63" s="223"/>
      <c r="R63" s="223"/>
      <c r="S63" s="223"/>
      <c r="T63" s="223"/>
      <c r="U63" s="223"/>
      <c r="V63" s="223"/>
      <c r="W63" s="223"/>
      <c r="X63" s="223"/>
    </row>
    <row r="64" spans="1:27" ht="19.5" customHeight="1">
      <c r="A64" s="152"/>
      <c r="B64" s="146" t="s">
        <v>125</v>
      </c>
      <c r="C64" s="146"/>
      <c r="D64" s="147"/>
      <c r="E64" s="147"/>
      <c r="F64" s="147"/>
      <c r="G64" s="147"/>
      <c r="H64" s="147"/>
      <c r="I64" s="147"/>
      <c r="J64" s="147"/>
      <c r="K64" s="45"/>
      <c r="L64" s="153"/>
      <c r="M64" s="12"/>
      <c r="N64" s="223"/>
      <c r="O64" s="223"/>
      <c r="P64" s="223"/>
      <c r="Q64" s="223"/>
      <c r="R64" s="223"/>
      <c r="S64" s="223"/>
      <c r="T64" s="223"/>
      <c r="U64" s="223"/>
      <c r="V64" s="223"/>
      <c r="W64" s="223"/>
      <c r="X64" s="223"/>
    </row>
    <row r="65" spans="1:24" ht="19.5" customHeight="1">
      <c r="A65" s="152"/>
      <c r="B65" s="45"/>
      <c r="C65" s="146" t="s">
        <v>118</v>
      </c>
      <c r="D65" s="45"/>
      <c r="E65" s="45"/>
      <c r="F65" s="45"/>
      <c r="G65" s="45"/>
      <c r="H65" s="45"/>
      <c r="I65" s="45"/>
      <c r="J65" s="45"/>
      <c r="L65" s="154"/>
      <c r="M65" s="12"/>
      <c r="N65" s="223"/>
      <c r="O65" s="223"/>
      <c r="P65" s="223"/>
      <c r="Q65" s="223"/>
      <c r="R65" s="223"/>
      <c r="S65" s="223"/>
      <c r="T65" s="223"/>
      <c r="U65" s="223"/>
      <c r="V65" s="223"/>
      <c r="W65" s="223"/>
      <c r="X65" s="223"/>
    </row>
    <row r="66" spans="1:24" ht="19.5" customHeight="1">
      <c r="A66" s="152"/>
      <c r="C66" s="145" t="s">
        <v>183</v>
      </c>
      <c r="L66" s="155"/>
      <c r="M66" s="16"/>
    </row>
    <row r="67" spans="1:24" ht="19.5" customHeight="1">
      <c r="A67" s="152"/>
      <c r="B67" s="146" t="s">
        <v>181</v>
      </c>
      <c r="L67" s="155"/>
    </row>
    <row r="68" spans="1:24" ht="19.5" customHeight="1">
      <c r="A68" s="152"/>
      <c r="C68" s="146" t="s">
        <v>179</v>
      </c>
      <c r="L68" s="156"/>
    </row>
    <row r="69" spans="1:24" ht="19.5" customHeight="1" thickBot="1">
      <c r="A69" s="157"/>
      <c r="B69" s="158"/>
      <c r="C69" s="158"/>
      <c r="D69" s="158"/>
      <c r="E69" s="158"/>
      <c r="F69" s="158"/>
      <c r="G69" s="158"/>
      <c r="H69" s="158"/>
      <c r="I69" s="158"/>
      <c r="J69" s="158"/>
      <c r="K69" s="158"/>
      <c r="L69" s="159"/>
    </row>
    <row r="70" spans="1:24" ht="19.5" customHeight="1"/>
    <row r="71" spans="1:24" ht="19.5" customHeight="1"/>
    <row r="72" spans="1:24" ht="19.5" customHeight="1">
      <c r="N72" s="1"/>
      <c r="O72" s="1"/>
    </row>
    <row r="73" spans="1:24" ht="19.5" customHeight="1">
      <c r="N73" s="1"/>
      <c r="O73" s="1"/>
    </row>
    <row r="74" spans="1:24" ht="19.5" customHeight="1">
      <c r="N74" s="12"/>
      <c r="O74" s="12"/>
      <c r="P74" s="12"/>
    </row>
    <row r="75" spans="1:24" ht="14.4">
      <c r="N75" s="12"/>
      <c r="O75" s="12"/>
      <c r="P75" s="12"/>
    </row>
    <row r="76" spans="1:24" ht="14.4">
      <c r="N76" s="16"/>
      <c r="O76" s="16"/>
      <c r="P76" s="12"/>
    </row>
  </sheetData>
  <sheetProtection algorithmName="SHA-512" hashValue="7B5OOnuV7zeQrD+Vy/4uHq5Ema4Sin2dA9GkcteO5z/WmnyoqIaNTQMdskCpS/vJ0EVlZfFKnn8E+Fnn5uBPSA==" saltValue="c09o4atXWz+ooPBQPeff8g==" spinCount="100000" sheet="1" selectLockedCells="1"/>
  <protectedRanges>
    <protectedRange sqref="C11:H16" name="範囲1"/>
    <protectedRange sqref="G49" name="範囲2"/>
  </protectedRanges>
  <dataConsolidate link="1"/>
  <customSheetViews>
    <customSheetView guid="{FEF7E134-FAA0-44BF-BC01-319EC6ED6317}" scale="70" showPageBreaks="1" showGridLines="0" printArea="1" view="pageBreakPreview" topLeftCell="F10">
      <selection activeCell="I15" sqref="I15"/>
      <colBreaks count="1" manualBreakCount="1">
        <brk id="12" max="39" man="1"/>
      </colBreaks>
      <pageMargins left="0.70866141732283472" right="0.70866141732283472" top="0.74803149606299213" bottom="0.74803149606299213" header="0.31496062992125984" footer="0.31496062992125984"/>
      <printOptions horizontalCentered="1" verticalCentered="1"/>
      <pageSetup paperSize="9" scale="52" orientation="portrait" r:id="rId1"/>
    </customSheetView>
  </customSheetViews>
  <mergeCells count="104">
    <mergeCell ref="B34:D34"/>
    <mergeCell ref="E34:F34"/>
    <mergeCell ref="E35:F35"/>
    <mergeCell ref="E37:F37"/>
    <mergeCell ref="G37:H37"/>
    <mergeCell ref="G35:H35"/>
    <mergeCell ref="Q6:R6"/>
    <mergeCell ref="Q7:R7"/>
    <mergeCell ref="Q8:R8"/>
    <mergeCell ref="Q9:R9"/>
    <mergeCell ref="J9:K10"/>
    <mergeCell ref="N6:N9"/>
    <mergeCell ref="O6:P6"/>
    <mergeCell ref="O7:P7"/>
    <mergeCell ref="O8:P8"/>
    <mergeCell ref="O9:P9"/>
    <mergeCell ref="A4:L6"/>
    <mergeCell ref="B9:B10"/>
    <mergeCell ref="C9:C10"/>
    <mergeCell ref="D9:D10"/>
    <mergeCell ref="E9:E10"/>
    <mergeCell ref="F9:F10"/>
    <mergeCell ref="G9:G10"/>
    <mergeCell ref="H9:H10"/>
    <mergeCell ref="I9:I10"/>
    <mergeCell ref="A1:L3"/>
    <mergeCell ref="T22:U22"/>
    <mergeCell ref="S40:T40"/>
    <mergeCell ref="U38:U39"/>
    <mergeCell ref="W21:X21"/>
    <mergeCell ref="W22:X22"/>
    <mergeCell ref="T29:U29"/>
    <mergeCell ref="T28:U28"/>
    <mergeCell ref="T27:U27"/>
    <mergeCell ref="T26:U26"/>
    <mergeCell ref="T25:U25"/>
    <mergeCell ref="S38:T38"/>
    <mergeCell ref="S39:T39"/>
    <mergeCell ref="T33:U33"/>
    <mergeCell ref="N40:N41"/>
    <mergeCell ref="O40:Q40"/>
    <mergeCell ref="W14:X14"/>
    <mergeCell ref="W20:X20"/>
    <mergeCell ref="T18:U18"/>
    <mergeCell ref="T19:U19"/>
    <mergeCell ref="W19:X19"/>
    <mergeCell ref="W18:X18"/>
    <mergeCell ref="W17:X17"/>
    <mergeCell ref="W16:X16"/>
    <mergeCell ref="W15:X15"/>
    <mergeCell ref="T14:U14"/>
    <mergeCell ref="T15:U15"/>
    <mergeCell ref="T16:U16"/>
    <mergeCell ref="T17:U17"/>
    <mergeCell ref="T20:U20"/>
    <mergeCell ref="T30:U30"/>
    <mergeCell ref="T31:U31"/>
    <mergeCell ref="E36:F36"/>
    <mergeCell ref="G55:J56"/>
    <mergeCell ref="B49:F50"/>
    <mergeCell ref="G49:J50"/>
    <mergeCell ref="N58:X65"/>
    <mergeCell ref="B58:F59"/>
    <mergeCell ref="G58:J59"/>
    <mergeCell ref="G52:G53"/>
    <mergeCell ref="B52:C53"/>
    <mergeCell ref="D52:D53"/>
    <mergeCell ref="E52:F53"/>
    <mergeCell ref="H52:I53"/>
    <mergeCell ref="B55:D56"/>
    <mergeCell ref="F55:F56"/>
    <mergeCell ref="E55:E56"/>
    <mergeCell ref="N54:P54"/>
    <mergeCell ref="B40:F40"/>
    <mergeCell ref="E38:F38"/>
    <mergeCell ref="B38:D38"/>
    <mergeCell ref="G38:H38"/>
    <mergeCell ref="I38:J38"/>
    <mergeCell ref="B37:D37"/>
    <mergeCell ref="B36:D36"/>
    <mergeCell ref="J16:K16"/>
    <mergeCell ref="J12:K12"/>
    <mergeCell ref="J13:K13"/>
    <mergeCell ref="J14:K14"/>
    <mergeCell ref="J11:K11"/>
    <mergeCell ref="T32:U32"/>
    <mergeCell ref="T21:U21"/>
    <mergeCell ref="N47:N48"/>
    <mergeCell ref="O41:Q41"/>
    <mergeCell ref="G40:J40"/>
    <mergeCell ref="G36:H36"/>
    <mergeCell ref="I36:J36"/>
    <mergeCell ref="G34:H34"/>
    <mergeCell ref="I34:J34"/>
    <mergeCell ref="I35:J35"/>
    <mergeCell ref="I37:J37"/>
    <mergeCell ref="C17:I17"/>
    <mergeCell ref="B35:D35"/>
    <mergeCell ref="J17:K17"/>
    <mergeCell ref="E33:F33"/>
    <mergeCell ref="G33:H33"/>
    <mergeCell ref="I33:J33"/>
    <mergeCell ref="B33:D33"/>
    <mergeCell ref="J15:K15"/>
  </mergeCells>
  <phoneticPr fontId="1"/>
  <conditionalFormatting sqref="C11:H16">
    <cfRule type="containsBlanks" dxfId="8" priority="9">
      <formula>LEN(TRIM(C11))=0</formula>
    </cfRule>
  </conditionalFormatting>
  <conditionalFormatting sqref="G49:J50">
    <cfRule type="containsBlanks" dxfId="7" priority="1">
      <formula>LEN(TRIM(G49))=0</formula>
    </cfRule>
  </conditionalFormatting>
  <conditionalFormatting sqref="V39:X39">
    <cfRule type="containsText" dxfId="6" priority="7" operator="containsText" text="○">
      <formula>NOT(ISERROR(SEARCH("○",V39)))</formula>
    </cfRule>
  </conditionalFormatting>
  <dataValidations count="5">
    <dataValidation type="list" allowBlank="1" showErrorMessage="1" sqref="C11" xr:uid="{00000000-0002-0000-0000-000000000000}">
      <formula1>"加入,擬主"</formula1>
    </dataValidation>
    <dataValidation type="list" allowBlank="1" showInputMessage="1" showErrorMessage="1" sqref="C12:C16" xr:uid="{00000000-0002-0000-0000-000001000000}">
      <formula1>"加入"</formula1>
    </dataValidation>
    <dataValidation type="list" showInputMessage="1" sqref="H11:H16" xr:uid="{00000000-0002-0000-0000-000002000000}">
      <formula1>"〇,　"</formula1>
    </dataValidation>
    <dataValidation type="custom" allowBlank="1" showInputMessage="1" showErrorMessage="1" error="0以上の数値を入力してください" sqref="E11:E16" xr:uid="{00000000-0002-0000-0000-000003000000}">
      <formula1>E11&gt;=0</formula1>
    </dataValidation>
    <dataValidation type="list" allowBlank="1" showInputMessage="1" showErrorMessage="1" sqref="D11:D16" xr:uid="{00000000-0002-0000-0000-000004000000}">
      <formula1>"0～6才(小学校入学前),7～18才,19～39才,40～64才,65～74才,75才以上"</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2"/>
  <colBreaks count="1" manualBreakCount="1">
    <brk id="12" max="39"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4" tint="0.39997558519241921"/>
  </sheetPr>
  <dimension ref="A1:AD76"/>
  <sheetViews>
    <sheetView showGridLines="0" view="pageBreakPreview" topLeftCell="A22" zoomScale="70" zoomScaleNormal="55" zoomScaleSheetLayoutView="70" zoomScalePageLayoutView="70" workbookViewId="0">
      <selection activeCell="J12" sqref="J12:K12"/>
    </sheetView>
  </sheetViews>
  <sheetFormatPr defaultColWidth="9" defaultRowHeight="13.2"/>
  <cols>
    <col min="1" max="1" width="7.6640625" style="2" customWidth="1"/>
    <col min="2" max="2" width="11.6640625" style="2" customWidth="1"/>
    <col min="3" max="9" width="14" style="2" customWidth="1"/>
    <col min="10" max="10" width="14.77734375" style="2" customWidth="1"/>
    <col min="11" max="11" width="17.6640625" style="2" customWidth="1"/>
    <col min="12" max="12" width="7.6640625" style="2" customWidth="1"/>
    <col min="13" max="13" width="7.6640625" style="2" hidden="1" customWidth="1"/>
    <col min="14" max="29" width="14.6640625" style="2" hidden="1" customWidth="1"/>
    <col min="30" max="30" width="9" style="2" hidden="1" customWidth="1"/>
    <col min="31" max="16384" width="9" style="2"/>
  </cols>
  <sheetData>
    <row r="1" spans="1:29" ht="24" customHeight="1" thickBot="1">
      <c r="A1" s="266" t="s">
        <v>119</v>
      </c>
      <c r="B1" s="266"/>
      <c r="C1" s="266"/>
      <c r="D1" s="266"/>
      <c r="E1" s="266"/>
      <c r="F1" s="266"/>
      <c r="G1" s="266"/>
      <c r="H1" s="266"/>
      <c r="I1" s="266"/>
      <c r="J1" s="266"/>
      <c r="K1" s="266"/>
      <c r="L1" s="266"/>
      <c r="N1" s="62" t="s">
        <v>168</v>
      </c>
      <c r="O1" s="62"/>
      <c r="P1" s="62"/>
      <c r="Q1" s="62"/>
      <c r="R1" s="62"/>
      <c r="S1" s="62"/>
      <c r="T1" s="3" t="s">
        <v>127</v>
      </c>
      <c r="U1" s="99" t="s">
        <v>3</v>
      </c>
      <c r="V1" s="99" t="s">
        <v>128</v>
      </c>
      <c r="W1" s="99" t="s">
        <v>129</v>
      </c>
      <c r="Y1" s="2" t="s">
        <v>182</v>
      </c>
    </row>
    <row r="2" spans="1:29" ht="24" customHeight="1" thickBot="1">
      <c r="A2" s="266"/>
      <c r="B2" s="266"/>
      <c r="C2" s="266"/>
      <c r="D2" s="266"/>
      <c r="E2" s="266"/>
      <c r="F2" s="266"/>
      <c r="G2" s="266"/>
      <c r="H2" s="266"/>
      <c r="I2" s="266"/>
      <c r="J2" s="266"/>
      <c r="K2" s="266"/>
      <c r="L2" s="266"/>
      <c r="N2" s="63"/>
      <c r="O2" s="64" t="s">
        <v>3</v>
      </c>
      <c r="P2" s="65" t="s">
        <v>39</v>
      </c>
      <c r="Q2" s="66" t="s">
        <v>46</v>
      </c>
      <c r="R2" s="67" t="s">
        <v>5</v>
      </c>
      <c r="S2" s="95"/>
      <c r="T2" s="18" t="s">
        <v>126</v>
      </c>
      <c r="U2" s="122">
        <v>33500</v>
      </c>
      <c r="V2" s="123">
        <v>10300</v>
      </c>
      <c r="W2" s="124">
        <v>6100</v>
      </c>
      <c r="Y2" s="26"/>
      <c r="Z2" s="27" t="s">
        <v>3</v>
      </c>
      <c r="AA2" s="28" t="s">
        <v>4</v>
      </c>
      <c r="AB2" s="29" t="s">
        <v>45</v>
      </c>
      <c r="AC2" s="30" t="s">
        <v>5</v>
      </c>
    </row>
    <row r="3" spans="1:29" ht="24" customHeight="1" thickTop="1" thickBot="1">
      <c r="A3" s="267"/>
      <c r="B3" s="267"/>
      <c r="C3" s="267"/>
      <c r="D3" s="267"/>
      <c r="E3" s="267"/>
      <c r="F3" s="267"/>
      <c r="G3" s="267"/>
      <c r="H3" s="267"/>
      <c r="I3" s="267"/>
      <c r="J3" s="267"/>
      <c r="K3" s="267"/>
      <c r="L3" s="267"/>
      <c r="N3" s="68" t="s">
        <v>120</v>
      </c>
      <c r="O3" s="86">
        <v>9.7600000000000006E-2</v>
      </c>
      <c r="P3" s="87">
        <v>2.86E-2</v>
      </c>
      <c r="Q3" s="69">
        <f>O3+P3</f>
        <v>0.12620000000000001</v>
      </c>
      <c r="R3" s="91">
        <v>2.3300000000000001E-2</v>
      </c>
      <c r="S3" s="96"/>
      <c r="T3" s="18" t="s">
        <v>0</v>
      </c>
      <c r="U3" s="14">
        <f>U2*0.3</f>
        <v>10050</v>
      </c>
      <c r="V3" s="14">
        <f t="shared" ref="V3:W3" si="0">V2*0.3</f>
        <v>3090</v>
      </c>
      <c r="W3" s="14">
        <f t="shared" si="0"/>
        <v>1830</v>
      </c>
      <c r="Y3" s="37" t="s">
        <v>0</v>
      </c>
      <c r="Z3" s="14">
        <f>O4*0.3</f>
        <v>9420</v>
      </c>
      <c r="AA3" s="24">
        <f>P4*0.3</f>
        <v>2910</v>
      </c>
      <c r="AB3" s="25">
        <f>Z3+AA3</f>
        <v>12330</v>
      </c>
      <c r="AC3" s="19">
        <f>R4*0.3</f>
        <v>3480</v>
      </c>
    </row>
    <row r="4" spans="1:29" ht="38.1" customHeight="1">
      <c r="A4" s="302" t="s">
        <v>185</v>
      </c>
      <c r="B4" s="303"/>
      <c r="C4" s="303"/>
      <c r="D4" s="303"/>
      <c r="E4" s="303"/>
      <c r="F4" s="303"/>
      <c r="G4" s="303"/>
      <c r="H4" s="303"/>
      <c r="I4" s="303"/>
      <c r="J4" s="303"/>
      <c r="K4" s="303"/>
      <c r="L4" s="304"/>
      <c r="N4" s="70" t="s">
        <v>41</v>
      </c>
      <c r="O4" s="32">
        <v>31400</v>
      </c>
      <c r="P4" s="88">
        <v>9700</v>
      </c>
      <c r="Q4" s="71">
        <f>O4+P4</f>
        <v>41100</v>
      </c>
      <c r="R4" s="92">
        <v>11600</v>
      </c>
      <c r="S4" s="97"/>
      <c r="T4" s="18" t="s">
        <v>1</v>
      </c>
      <c r="U4" s="8">
        <f>U2*0.5</f>
        <v>16750</v>
      </c>
      <c r="V4" s="8">
        <f t="shared" ref="V4:W4" si="1">V2*0.5</f>
        <v>5150</v>
      </c>
      <c r="W4" s="8">
        <f t="shared" si="1"/>
        <v>3050</v>
      </c>
      <c r="Y4" s="18" t="s">
        <v>1</v>
      </c>
      <c r="Z4" s="8">
        <f>O4*0.5</f>
        <v>15700</v>
      </c>
      <c r="AA4" s="21">
        <f>P4*0.5</f>
        <v>4850</v>
      </c>
      <c r="AB4" s="22">
        <f>Z4+AA4</f>
        <v>20550</v>
      </c>
      <c r="AC4" s="20">
        <f>R4*0.5</f>
        <v>5800</v>
      </c>
    </row>
    <row r="5" spans="1:29" ht="38.1" customHeight="1" thickBot="1">
      <c r="A5" s="305"/>
      <c r="B5" s="306"/>
      <c r="C5" s="306"/>
      <c r="D5" s="306"/>
      <c r="E5" s="306"/>
      <c r="F5" s="306"/>
      <c r="G5" s="306"/>
      <c r="H5" s="306"/>
      <c r="I5" s="306"/>
      <c r="J5" s="306"/>
      <c r="K5" s="306"/>
      <c r="L5" s="307"/>
      <c r="N5" s="72" t="s">
        <v>10</v>
      </c>
      <c r="O5" s="89">
        <v>660000</v>
      </c>
      <c r="P5" s="90">
        <v>260000</v>
      </c>
      <c r="Q5" s="73">
        <f>O5+P5</f>
        <v>920000</v>
      </c>
      <c r="R5" s="74">
        <v>170000</v>
      </c>
      <c r="S5" s="98"/>
      <c r="T5" s="18" t="s">
        <v>2</v>
      </c>
      <c r="U5" s="8">
        <f>U2*0.8</f>
        <v>26800</v>
      </c>
      <c r="V5" s="8">
        <f t="shared" ref="V5:W5" si="2">V2*0.8</f>
        <v>8240</v>
      </c>
      <c r="W5" s="8">
        <f t="shared" si="2"/>
        <v>4880</v>
      </c>
      <c r="Y5" s="18" t="s">
        <v>2</v>
      </c>
      <c r="Z5" s="8">
        <f>O4*0.8</f>
        <v>25120</v>
      </c>
      <c r="AA5" s="21">
        <f>P4*0.8</f>
        <v>7760</v>
      </c>
      <c r="AB5" s="23">
        <f>Z5+AA5</f>
        <v>32880</v>
      </c>
      <c r="AC5" s="20">
        <f>R4*0.8</f>
        <v>9280</v>
      </c>
    </row>
    <row r="6" spans="1:29" ht="38.1" customHeight="1" thickTop="1" thickBot="1">
      <c r="A6" s="308"/>
      <c r="B6" s="309"/>
      <c r="C6" s="309"/>
      <c r="D6" s="309"/>
      <c r="E6" s="309"/>
      <c r="F6" s="309"/>
      <c r="G6" s="309"/>
      <c r="H6" s="309"/>
      <c r="I6" s="309"/>
      <c r="J6" s="309"/>
      <c r="K6" s="309"/>
      <c r="L6" s="310"/>
      <c r="N6" s="296" t="s">
        <v>51</v>
      </c>
      <c r="O6" s="298">
        <v>-430000</v>
      </c>
      <c r="P6" s="299"/>
      <c r="Q6" s="288" t="s">
        <v>89</v>
      </c>
      <c r="R6" s="289"/>
      <c r="T6" s="62" t="s">
        <v>93</v>
      </c>
      <c r="U6" s="45"/>
      <c r="V6" s="45"/>
      <c r="W6" s="45"/>
    </row>
    <row r="7" spans="1:29" ht="30" customHeight="1" thickBot="1">
      <c r="N7" s="297"/>
      <c r="O7" s="300">
        <v>-190000</v>
      </c>
      <c r="P7" s="301"/>
      <c r="Q7" s="290" t="s">
        <v>90</v>
      </c>
      <c r="R7" s="291"/>
      <c r="T7" s="63"/>
      <c r="U7" s="72" t="s">
        <v>3</v>
      </c>
      <c r="V7" s="125" t="s">
        <v>4</v>
      </c>
      <c r="W7" s="126" t="s">
        <v>45</v>
      </c>
    </row>
    <row r="8" spans="1:29" ht="30" customHeight="1" thickTop="1" thickBot="1">
      <c r="A8" s="148" t="s">
        <v>31</v>
      </c>
      <c r="B8" s="149"/>
      <c r="C8" s="149"/>
      <c r="D8" s="149"/>
      <c r="E8" s="149"/>
      <c r="F8" s="149"/>
      <c r="G8" s="149"/>
      <c r="H8" s="149"/>
      <c r="I8" s="149"/>
      <c r="J8" s="149"/>
      <c r="K8" s="149"/>
      <c r="L8" s="151"/>
      <c r="N8" s="297"/>
      <c r="O8" s="300">
        <v>-150000</v>
      </c>
      <c r="P8" s="301"/>
      <c r="Q8" s="290" t="s">
        <v>91</v>
      </c>
      <c r="R8" s="291"/>
      <c r="T8" s="68" t="s">
        <v>94</v>
      </c>
      <c r="U8" s="127">
        <f>O4/2</f>
        <v>15700</v>
      </c>
      <c r="V8" s="128">
        <f>P4/2</f>
        <v>4850</v>
      </c>
      <c r="W8" s="129">
        <f>U8+V8</f>
        <v>20550</v>
      </c>
    </row>
    <row r="9" spans="1:29" ht="30" customHeight="1" thickTop="1">
      <c r="A9" s="152"/>
      <c r="B9" s="283" t="s">
        <v>25</v>
      </c>
      <c r="C9" s="312" t="s">
        <v>26</v>
      </c>
      <c r="D9" s="312" t="s">
        <v>37</v>
      </c>
      <c r="E9" s="312" t="s">
        <v>27</v>
      </c>
      <c r="F9" s="312" t="s">
        <v>87</v>
      </c>
      <c r="G9" s="312" t="s">
        <v>86</v>
      </c>
      <c r="H9" s="314" t="s">
        <v>85</v>
      </c>
      <c r="I9" s="264" t="s">
        <v>24</v>
      </c>
      <c r="J9" s="292" t="s">
        <v>104</v>
      </c>
      <c r="K9" s="293"/>
      <c r="L9" s="153"/>
      <c r="N9" s="284"/>
      <c r="O9" s="300">
        <v>0</v>
      </c>
      <c r="P9" s="301"/>
      <c r="Q9" s="290" t="s">
        <v>92</v>
      </c>
      <c r="R9" s="291"/>
      <c r="T9" s="70" t="s">
        <v>0</v>
      </c>
      <c r="U9" s="130">
        <f t="shared" ref="U9:V11" si="3">Z3/2</f>
        <v>4710</v>
      </c>
      <c r="V9" s="131">
        <f t="shared" si="3"/>
        <v>1455</v>
      </c>
      <c r="W9" s="132">
        <f>U9+V9</f>
        <v>6165</v>
      </c>
    </row>
    <row r="10" spans="1:29" s="3" customFormat="1" ht="33.9" customHeight="1" thickBot="1">
      <c r="A10" s="166"/>
      <c r="B10" s="311"/>
      <c r="C10" s="313"/>
      <c r="D10" s="313"/>
      <c r="E10" s="313"/>
      <c r="F10" s="313"/>
      <c r="G10" s="313"/>
      <c r="H10" s="315"/>
      <c r="I10" s="265"/>
      <c r="J10" s="294"/>
      <c r="K10" s="295"/>
      <c r="L10" s="167"/>
      <c r="M10" s="4"/>
      <c r="O10" s="60"/>
      <c r="P10" s="60"/>
      <c r="Q10" s="61"/>
      <c r="R10" s="61"/>
      <c r="S10" s="2"/>
      <c r="T10" s="70" t="s">
        <v>1</v>
      </c>
      <c r="U10" s="130">
        <f t="shared" si="3"/>
        <v>7850</v>
      </c>
      <c r="V10" s="131">
        <f t="shared" si="3"/>
        <v>2425</v>
      </c>
      <c r="W10" s="132">
        <f>U10+V10</f>
        <v>10275</v>
      </c>
    </row>
    <row r="11" spans="1:29" ht="35.1" customHeight="1" thickTop="1" thickBot="1">
      <c r="A11" s="152"/>
      <c r="B11" s="17" t="s">
        <v>28</v>
      </c>
      <c r="C11" s="173" t="s">
        <v>173</v>
      </c>
      <c r="D11" s="119" t="s">
        <v>174</v>
      </c>
      <c r="E11" s="117">
        <v>3000000</v>
      </c>
      <c r="F11" s="117"/>
      <c r="G11" s="117"/>
      <c r="H11" s="118"/>
      <c r="I11" s="120">
        <f>IF(SUM(E11:H11)&lt;0,0,SUM(E11:H11))</f>
        <v>3000000</v>
      </c>
      <c r="J11" s="176">
        <f>T16</f>
        <v>2570000</v>
      </c>
      <c r="K11" s="177"/>
      <c r="L11" s="153"/>
      <c r="N11" s="3"/>
      <c r="O11" s="60"/>
      <c r="P11" s="60"/>
      <c r="Q11" s="61"/>
      <c r="R11" s="61"/>
      <c r="T11" s="70" t="s">
        <v>2</v>
      </c>
      <c r="U11" s="130">
        <f t="shared" si="3"/>
        <v>12560</v>
      </c>
      <c r="V11" s="131">
        <f t="shared" si="3"/>
        <v>3880</v>
      </c>
      <c r="W11" s="133">
        <f>U11+V11</f>
        <v>16440</v>
      </c>
    </row>
    <row r="12" spans="1:29" ht="35.1" customHeight="1">
      <c r="A12" s="152"/>
      <c r="B12" s="18" t="s">
        <v>19</v>
      </c>
      <c r="C12" s="173" t="s">
        <v>173</v>
      </c>
      <c r="D12" s="119" t="s">
        <v>174</v>
      </c>
      <c r="E12" s="117">
        <v>500000</v>
      </c>
      <c r="F12" s="117"/>
      <c r="G12" s="117"/>
      <c r="H12" s="118"/>
      <c r="I12" s="120">
        <f t="shared" ref="I12:I16" si="4">IF(SUM(E12:H12)&lt;0,0,SUM(E12:H12))</f>
        <v>500000</v>
      </c>
      <c r="J12" s="176">
        <f t="shared" ref="J12:J16" si="5">T17</f>
        <v>70000</v>
      </c>
      <c r="K12" s="177"/>
      <c r="L12" s="153"/>
      <c r="N12" s="3"/>
      <c r="O12" s="60"/>
      <c r="P12" s="60"/>
      <c r="Q12" s="61"/>
      <c r="R12" s="61"/>
      <c r="T12" s="77"/>
      <c r="U12" s="94"/>
      <c r="V12" s="94"/>
      <c r="W12" s="94"/>
      <c r="X12" s="3"/>
    </row>
    <row r="13" spans="1:29" ht="35.1" customHeight="1" thickBot="1">
      <c r="A13" s="152"/>
      <c r="B13" s="18" t="s">
        <v>20</v>
      </c>
      <c r="C13" s="173"/>
      <c r="D13" s="119"/>
      <c r="E13" s="117"/>
      <c r="F13" s="117"/>
      <c r="G13" s="117"/>
      <c r="H13" s="118"/>
      <c r="I13" s="120">
        <f t="shared" si="4"/>
        <v>0</v>
      </c>
      <c r="J13" s="176">
        <f t="shared" si="5"/>
        <v>0</v>
      </c>
      <c r="K13" s="177"/>
      <c r="L13" s="153"/>
      <c r="N13" s="2" t="s">
        <v>50</v>
      </c>
      <c r="Y13" s="45"/>
    </row>
    <row r="14" spans="1:29" ht="35.1" customHeight="1">
      <c r="A14" s="152"/>
      <c r="B14" s="18" t="s">
        <v>21</v>
      </c>
      <c r="C14" s="173"/>
      <c r="D14" s="119"/>
      <c r="E14" s="117"/>
      <c r="F14" s="117"/>
      <c r="G14" s="117"/>
      <c r="H14" s="118"/>
      <c r="I14" s="120">
        <f t="shared" si="4"/>
        <v>0</v>
      </c>
      <c r="J14" s="176">
        <f t="shared" si="5"/>
        <v>0</v>
      </c>
      <c r="K14" s="177"/>
      <c r="L14" s="153"/>
      <c r="O14" s="18" t="s">
        <v>43</v>
      </c>
      <c r="P14" s="56" t="s">
        <v>44</v>
      </c>
      <c r="Q14" s="18" t="s">
        <v>55</v>
      </c>
      <c r="R14" s="18" t="s">
        <v>56</v>
      </c>
      <c r="S14" s="18" t="s">
        <v>57</v>
      </c>
      <c r="T14" s="254" t="s">
        <v>77</v>
      </c>
      <c r="U14" s="255"/>
      <c r="V14" s="40" t="s">
        <v>68</v>
      </c>
      <c r="W14" s="201" t="s">
        <v>79</v>
      </c>
      <c r="X14" s="203"/>
    </row>
    <row r="15" spans="1:29" ht="35.1" customHeight="1" thickBot="1">
      <c r="A15" s="152"/>
      <c r="B15" s="18" t="s">
        <v>22</v>
      </c>
      <c r="C15" s="173"/>
      <c r="D15" s="119"/>
      <c r="E15" s="117"/>
      <c r="F15" s="117"/>
      <c r="G15" s="117"/>
      <c r="H15" s="118"/>
      <c r="I15" s="120">
        <f t="shared" si="4"/>
        <v>0</v>
      </c>
      <c r="J15" s="176">
        <f t="shared" si="5"/>
        <v>0</v>
      </c>
      <c r="K15" s="177"/>
      <c r="L15" s="153"/>
      <c r="N15" s="10"/>
      <c r="O15" s="38" t="s">
        <v>48</v>
      </c>
      <c r="P15" s="58" t="s">
        <v>49</v>
      </c>
      <c r="Q15" s="58" t="s">
        <v>24</v>
      </c>
      <c r="R15" s="38" t="s">
        <v>59</v>
      </c>
      <c r="S15" s="38" t="s">
        <v>51</v>
      </c>
      <c r="T15" s="256" t="s">
        <v>36</v>
      </c>
      <c r="U15" s="257"/>
      <c r="V15" s="42" t="s">
        <v>53</v>
      </c>
      <c r="W15" s="252" t="s">
        <v>54</v>
      </c>
      <c r="X15" s="253"/>
      <c r="AB15" s="7"/>
    </row>
    <row r="16" spans="1:29" ht="35.1" customHeight="1" thickTop="1" thickBot="1">
      <c r="A16" s="152"/>
      <c r="B16" s="10" t="s">
        <v>23</v>
      </c>
      <c r="C16" s="173"/>
      <c r="D16" s="119"/>
      <c r="E16" s="116"/>
      <c r="F16" s="116"/>
      <c r="G16" s="116"/>
      <c r="H16" s="118"/>
      <c r="I16" s="120">
        <f t="shared" si="4"/>
        <v>0</v>
      </c>
      <c r="J16" s="176">
        <f t="shared" si="5"/>
        <v>0</v>
      </c>
      <c r="K16" s="177"/>
      <c r="L16" s="153"/>
      <c r="N16" s="37" t="s">
        <v>12</v>
      </c>
      <c r="O16" s="31">
        <f>IF(C11="加入",1,0)</f>
        <v>1</v>
      </c>
      <c r="P16" s="46">
        <f>IF(OR(D11="",D11="75才以上"),0,1)</f>
        <v>1</v>
      </c>
      <c r="Q16" s="34">
        <f t="shared" ref="Q16:Q21" si="6">I11</f>
        <v>3000000</v>
      </c>
      <c r="R16" s="47">
        <f>IF(H11="〇",-E11*0.7,0)*IF(OR(D11="65～74才",D11="75才以上"),0,1)</f>
        <v>0</v>
      </c>
      <c r="S16" s="14">
        <f t="shared" ref="S16:S21" si="7">IF(I11&lt;=24000000,$O$6)+IF(AND(I11&gt;24000000,I11&lt;=24500000),$O$7)+IF(AND(I11&gt;24500000,I11&lt;=25000000),$O$8)+IF(I11&gt;25000000,$O$9)</f>
        <v>-430000</v>
      </c>
      <c r="T16" s="258">
        <f>IF(O16*P16*(Q16+R16+S16)&lt;0,0,O16*P16*(Q16+R16+S16))</f>
        <v>2570000</v>
      </c>
      <c r="U16" s="259"/>
      <c r="V16" s="41">
        <f>IF(D11="40～64才",1,0)</f>
        <v>1</v>
      </c>
      <c r="W16" s="250">
        <f>IF(O16*V16*(Q16+R16+S16)&lt;0,0,O16*V16*(Q16+R16+S16))</f>
        <v>2570000</v>
      </c>
      <c r="X16" s="251"/>
    </row>
    <row r="17" spans="1:27" ht="35.1" customHeight="1" thickTop="1" thickBot="1">
      <c r="A17" s="152"/>
      <c r="C17" s="194" t="s">
        <v>29</v>
      </c>
      <c r="D17" s="195"/>
      <c r="E17" s="195"/>
      <c r="F17" s="195"/>
      <c r="G17" s="195"/>
      <c r="H17" s="195"/>
      <c r="I17" s="196"/>
      <c r="J17" s="198">
        <f>SUM(J11:J16)</f>
        <v>2640000</v>
      </c>
      <c r="K17" s="199"/>
      <c r="L17" s="153"/>
      <c r="N17" s="18" t="s">
        <v>13</v>
      </c>
      <c r="O17" s="31">
        <f t="shared" ref="O17:O21" si="8">IF(C12="加入",1,0)</f>
        <v>1</v>
      </c>
      <c r="P17" s="46">
        <f t="shared" ref="P17:P21" si="9">IF(OR(D12="",D12="75才以上"),0,1)</f>
        <v>1</v>
      </c>
      <c r="Q17" s="34">
        <f t="shared" si="6"/>
        <v>500000</v>
      </c>
      <c r="R17" s="47">
        <f t="shared" ref="R17:R21" si="10">IF(H12="〇",-E12*0.7,0)*IF(OR(D12="65～74才",D12="75才以上"),0,1)</f>
        <v>0</v>
      </c>
      <c r="S17" s="14">
        <f t="shared" si="7"/>
        <v>-430000</v>
      </c>
      <c r="T17" s="260">
        <f t="shared" ref="T17:T21" si="11">IF(O17*P17*(Q17+R17+S17)&lt;0,0,O17*P17*(Q17+R17+S17))</f>
        <v>70000</v>
      </c>
      <c r="U17" s="261"/>
      <c r="V17" s="41">
        <f t="shared" ref="V17:V21" si="12">IF(D12="40～64才",1,0)</f>
        <v>1</v>
      </c>
      <c r="W17" s="285">
        <f t="shared" ref="W17:W21" si="13">IF(O17*V17*(Q17+R17+S17)&lt;0,0,O17*V17*(Q17+R17+S17))</f>
        <v>70000</v>
      </c>
      <c r="X17" s="286"/>
    </row>
    <row r="18" spans="1:27" ht="30" customHeight="1" thickTop="1" thickBot="1">
      <c r="A18" s="168" t="s">
        <v>114</v>
      </c>
      <c r="C18" s="81"/>
      <c r="D18" s="81"/>
      <c r="E18" s="81"/>
      <c r="F18" s="81"/>
      <c r="G18" s="81"/>
      <c r="H18" s="81"/>
      <c r="I18" s="81"/>
      <c r="J18" s="82"/>
      <c r="K18" s="82"/>
      <c r="L18" s="153"/>
      <c r="N18" s="18" t="s">
        <v>15</v>
      </c>
      <c r="O18" s="31">
        <f t="shared" si="8"/>
        <v>0</v>
      </c>
      <c r="P18" s="46">
        <f t="shared" si="9"/>
        <v>0</v>
      </c>
      <c r="Q18" s="34">
        <f t="shared" si="6"/>
        <v>0</v>
      </c>
      <c r="R18" s="47">
        <f t="shared" si="10"/>
        <v>0</v>
      </c>
      <c r="S18" s="14">
        <f t="shared" si="7"/>
        <v>-430000</v>
      </c>
      <c r="T18" s="260">
        <f t="shared" si="11"/>
        <v>0</v>
      </c>
      <c r="U18" s="261"/>
      <c r="V18" s="41">
        <f t="shared" si="12"/>
        <v>0</v>
      </c>
      <c r="W18" s="285">
        <f t="shared" si="13"/>
        <v>0</v>
      </c>
      <c r="X18" s="286"/>
    </row>
    <row r="19" spans="1:27" ht="30" customHeight="1" thickTop="1" thickBot="1">
      <c r="A19" s="152"/>
      <c r="B19" s="12" t="s">
        <v>165</v>
      </c>
      <c r="G19" s="7"/>
      <c r="H19" s="7"/>
      <c r="I19" s="7"/>
      <c r="J19" s="7"/>
      <c r="K19" s="7"/>
      <c r="L19" s="153"/>
      <c r="N19" s="18" t="s">
        <v>14</v>
      </c>
      <c r="O19" s="31">
        <f t="shared" si="8"/>
        <v>0</v>
      </c>
      <c r="P19" s="46">
        <f t="shared" si="9"/>
        <v>0</v>
      </c>
      <c r="Q19" s="34">
        <f t="shared" si="6"/>
        <v>0</v>
      </c>
      <c r="R19" s="47">
        <f t="shared" si="10"/>
        <v>0</v>
      </c>
      <c r="S19" s="14">
        <f t="shared" si="7"/>
        <v>-430000</v>
      </c>
      <c r="T19" s="260">
        <f t="shared" si="11"/>
        <v>0</v>
      </c>
      <c r="U19" s="261"/>
      <c r="V19" s="41">
        <f t="shared" si="12"/>
        <v>0</v>
      </c>
      <c r="W19" s="285">
        <f t="shared" si="13"/>
        <v>0</v>
      </c>
      <c r="X19" s="286"/>
    </row>
    <row r="20" spans="1:27" ht="30" customHeight="1" thickTop="1" thickBot="1">
      <c r="A20" s="152"/>
      <c r="B20" s="12" t="s">
        <v>158</v>
      </c>
      <c r="G20" s="7"/>
      <c r="H20" s="7"/>
      <c r="I20" s="7"/>
      <c r="J20" s="7"/>
      <c r="K20" s="7"/>
      <c r="L20" s="153"/>
      <c r="N20" s="18" t="s">
        <v>17</v>
      </c>
      <c r="O20" s="31">
        <f t="shared" si="8"/>
        <v>0</v>
      </c>
      <c r="P20" s="46">
        <f t="shared" si="9"/>
        <v>0</v>
      </c>
      <c r="Q20" s="34">
        <f t="shared" si="6"/>
        <v>0</v>
      </c>
      <c r="R20" s="47">
        <f t="shared" si="10"/>
        <v>0</v>
      </c>
      <c r="S20" s="14">
        <f t="shared" si="7"/>
        <v>-430000</v>
      </c>
      <c r="T20" s="260">
        <f t="shared" si="11"/>
        <v>0</v>
      </c>
      <c r="U20" s="261"/>
      <c r="V20" s="41">
        <f t="shared" si="12"/>
        <v>0</v>
      </c>
      <c r="W20" s="285">
        <f t="shared" si="13"/>
        <v>0</v>
      </c>
      <c r="X20" s="286"/>
    </row>
    <row r="21" spans="1:27" ht="30" customHeight="1" thickTop="1" thickBot="1">
      <c r="A21" s="152"/>
      <c r="B21" s="169" t="s">
        <v>121</v>
      </c>
      <c r="L21" s="153"/>
      <c r="N21" s="10" t="s">
        <v>16</v>
      </c>
      <c r="O21" s="31">
        <f t="shared" si="8"/>
        <v>0</v>
      </c>
      <c r="P21" s="46">
        <f t="shared" si="9"/>
        <v>0</v>
      </c>
      <c r="Q21" s="34">
        <f t="shared" si="6"/>
        <v>0</v>
      </c>
      <c r="R21" s="47">
        <f t="shared" si="10"/>
        <v>0</v>
      </c>
      <c r="S21" s="14">
        <f t="shared" si="7"/>
        <v>-430000</v>
      </c>
      <c r="T21" s="180">
        <f t="shared" si="11"/>
        <v>0</v>
      </c>
      <c r="U21" s="181"/>
      <c r="V21" s="41">
        <f t="shared" si="12"/>
        <v>0</v>
      </c>
      <c r="W21" s="273">
        <f t="shared" si="13"/>
        <v>0</v>
      </c>
      <c r="X21" s="273"/>
    </row>
    <row r="22" spans="1:27" ht="30" customHeight="1" thickTop="1" thickBot="1">
      <c r="A22" s="152"/>
      <c r="B22" s="12" t="s">
        <v>88</v>
      </c>
      <c r="L22" s="153"/>
      <c r="N22" s="37" t="s">
        <v>18</v>
      </c>
      <c r="O22" s="35"/>
      <c r="P22" s="39"/>
      <c r="Q22" s="44"/>
      <c r="R22" s="55"/>
      <c r="S22" s="36"/>
      <c r="T22" s="268">
        <f>SUM(T16:T21)</f>
        <v>2640000</v>
      </c>
      <c r="U22" s="269"/>
      <c r="V22" s="43"/>
      <c r="W22" s="274">
        <f>SUM(W16:W21)</f>
        <v>2640000</v>
      </c>
      <c r="X22" s="274"/>
    </row>
    <row r="23" spans="1:27" ht="30" customHeight="1">
      <c r="A23" s="152"/>
      <c r="B23" s="12" t="s">
        <v>34</v>
      </c>
      <c r="L23" s="153"/>
    </row>
    <row r="24" spans="1:27" ht="30" customHeight="1" thickBot="1">
      <c r="A24" s="152"/>
      <c r="B24" s="12" t="s">
        <v>33</v>
      </c>
      <c r="L24" s="153"/>
      <c r="N24" s="2" t="s">
        <v>60</v>
      </c>
      <c r="T24" s="15"/>
      <c r="U24" s="15"/>
      <c r="V24" s="16"/>
    </row>
    <row r="25" spans="1:27" ht="30" customHeight="1">
      <c r="A25" s="152"/>
      <c r="B25" s="146" t="s">
        <v>164</v>
      </c>
      <c r="C25" s="147"/>
      <c r="D25" s="147"/>
      <c r="E25" s="147"/>
      <c r="F25" s="147"/>
      <c r="G25" s="147"/>
      <c r="H25" s="147"/>
      <c r="I25" s="147"/>
      <c r="J25" s="147"/>
      <c r="K25" s="147"/>
      <c r="L25" s="170"/>
      <c r="M25" s="9"/>
      <c r="O25" s="18" t="s">
        <v>69</v>
      </c>
      <c r="P25" s="18" t="s">
        <v>70</v>
      </c>
      <c r="Q25" s="18" t="s">
        <v>55</v>
      </c>
      <c r="R25" s="18" t="s">
        <v>72</v>
      </c>
      <c r="S25" s="56" t="s">
        <v>74</v>
      </c>
      <c r="T25" s="254" t="s">
        <v>80</v>
      </c>
      <c r="U25" s="255"/>
      <c r="V25" s="57" t="s">
        <v>78</v>
      </c>
      <c r="W25" s="18" t="s">
        <v>97</v>
      </c>
      <c r="X25" s="18" t="s">
        <v>96</v>
      </c>
      <c r="Y25" s="18" t="s">
        <v>99</v>
      </c>
      <c r="Z25" s="18" t="s">
        <v>105</v>
      </c>
      <c r="AA25" s="45" t="s">
        <v>81</v>
      </c>
    </row>
    <row r="26" spans="1:27" ht="30" customHeight="1" thickBot="1">
      <c r="A26" s="152"/>
      <c r="B26" s="171" t="s">
        <v>117</v>
      </c>
      <c r="C26" s="62"/>
      <c r="D26" s="62"/>
      <c r="E26" s="62"/>
      <c r="F26" s="62"/>
      <c r="G26" s="62"/>
      <c r="H26" s="62"/>
      <c r="I26" s="62"/>
      <c r="J26" s="62"/>
      <c r="K26" s="62"/>
      <c r="L26" s="153"/>
      <c r="M26" s="9"/>
      <c r="N26" s="26"/>
      <c r="O26" s="38" t="s">
        <v>76</v>
      </c>
      <c r="P26" s="38" t="s">
        <v>49</v>
      </c>
      <c r="Q26" s="38" t="s">
        <v>67</v>
      </c>
      <c r="R26" s="38" t="s">
        <v>58</v>
      </c>
      <c r="S26" s="58" t="s">
        <v>71</v>
      </c>
      <c r="T26" s="256" t="s">
        <v>35</v>
      </c>
      <c r="U26" s="257"/>
      <c r="V26" s="59" t="s">
        <v>73</v>
      </c>
      <c r="W26" s="134" t="s">
        <v>95</v>
      </c>
      <c r="X26" s="135" t="s">
        <v>98</v>
      </c>
      <c r="Y26" s="38" t="s">
        <v>100</v>
      </c>
      <c r="Z26" s="38" t="s">
        <v>75</v>
      </c>
    </row>
    <row r="27" spans="1:27" ht="30" customHeight="1" thickTop="1">
      <c r="A27" s="152"/>
      <c r="B27" s="171" t="s">
        <v>122</v>
      </c>
      <c r="C27" s="62"/>
      <c r="D27" s="62"/>
      <c r="E27" s="62"/>
      <c r="F27" s="62"/>
      <c r="G27" s="62"/>
      <c r="H27" s="62"/>
      <c r="I27" s="62"/>
      <c r="J27" s="62"/>
      <c r="K27" s="62"/>
      <c r="L27" s="153"/>
      <c r="M27" s="9"/>
      <c r="N27" s="37" t="s">
        <v>42</v>
      </c>
      <c r="O27" s="49">
        <f>IF(C11="",0,1)</f>
        <v>1</v>
      </c>
      <c r="P27" s="49">
        <f>IF(D11="",0,1)</f>
        <v>1</v>
      </c>
      <c r="Q27" s="14">
        <f t="shared" ref="Q27:Q32" si="14">I11</f>
        <v>3000000</v>
      </c>
      <c r="R27" s="47">
        <f>IF(H11="〇",-E11*0.7,0)*IF(OR(D11="65～74才",D11="75才以上"),0,1)*IF(C11="擬主",0,1)</f>
        <v>0</v>
      </c>
      <c r="S27" s="50">
        <f>IF(F11&lt;150000,-F11,-150000)*IF(OR(D11="65～74才",D11="75才以上"),1,0)</f>
        <v>0</v>
      </c>
      <c r="T27" s="275">
        <f>IF(O27*P27*(Q27+R27+S27)&lt;0,0,O27*P27*(Q27+R27+S27))</f>
        <v>3000000</v>
      </c>
      <c r="U27" s="276"/>
      <c r="V27" s="51">
        <f>IF(OR(E11&gt;0,IF(OR(D11="65才～74才",D11="75才以上"),F11-150000,F11)&gt;0),1,0)*IF(C11="",0,1)</f>
        <v>1</v>
      </c>
      <c r="W27" s="31">
        <f>(O16*P16)-X27</f>
        <v>1</v>
      </c>
      <c r="X27" s="31">
        <f>IF(D11="0～6才",1,0)</f>
        <v>0</v>
      </c>
      <c r="Y27" s="31">
        <f>W27+X27</f>
        <v>1</v>
      </c>
      <c r="Z27" s="31">
        <f>O16*V16</f>
        <v>1</v>
      </c>
    </row>
    <row r="28" spans="1:27" ht="30" customHeight="1">
      <c r="A28" s="152"/>
      <c r="B28" s="171" t="s">
        <v>32</v>
      </c>
      <c r="C28" s="62"/>
      <c r="D28" s="62"/>
      <c r="E28" s="62"/>
      <c r="F28" s="62"/>
      <c r="G28" s="62"/>
      <c r="H28" s="62"/>
      <c r="I28" s="62"/>
      <c r="J28" s="62"/>
      <c r="K28" s="62"/>
      <c r="L28" s="153"/>
      <c r="M28" s="9"/>
      <c r="N28" s="18" t="s">
        <v>19</v>
      </c>
      <c r="O28" s="49">
        <f t="shared" ref="O28:P32" si="15">IF(C12="",0,1)</f>
        <v>1</v>
      </c>
      <c r="P28" s="49">
        <f t="shared" si="15"/>
        <v>1</v>
      </c>
      <c r="Q28" s="8">
        <f t="shared" si="14"/>
        <v>500000</v>
      </c>
      <c r="R28" s="47">
        <f t="shared" ref="R28:R32" si="16">IF(H12="〇",-E12*0.7,0)*IF(OR(D12="65～74才",D12="75才以上"),0,1)*IF(C12="擬主",0,1)</f>
        <v>0</v>
      </c>
      <c r="S28" s="50">
        <f t="shared" ref="S28:S32" si="17">IF(F12&lt;150000,-F12,-150000)*IF(OR(D12="65～74才",D12="75才以上"),1,0)</f>
        <v>0</v>
      </c>
      <c r="T28" s="262">
        <f t="shared" ref="T28:T32" si="18">IF(O28*P28*(Q28+R28+S28)&lt;0,0,O28*P28*(Q28+R28+S28))</f>
        <v>500000</v>
      </c>
      <c r="U28" s="263"/>
      <c r="V28" s="51">
        <f t="shared" ref="V28:V32" si="19">IF(OR(E12&gt;0,IF(OR(D12="65才～74才",D12="75才以上"),F12-150000,F12)&gt;0),1,0)*IF(C12="",0,1)</f>
        <v>1</v>
      </c>
      <c r="W28" s="31">
        <f t="shared" ref="W28:W32" si="20">(O17*P17)-X28</f>
        <v>1</v>
      </c>
      <c r="X28" s="31">
        <f t="shared" ref="X28:X32" si="21">IF(D12="0～6才",1,0)</f>
        <v>0</v>
      </c>
      <c r="Y28" s="31">
        <f t="shared" ref="Y28:Y32" si="22">W28+X28</f>
        <v>1</v>
      </c>
      <c r="Z28" s="31">
        <f t="shared" ref="Z28:Z32" si="23">O17*V17</f>
        <v>1</v>
      </c>
    </row>
    <row r="29" spans="1:27" ht="30" customHeight="1">
      <c r="A29" s="152"/>
      <c r="B29" s="171" t="s">
        <v>115</v>
      </c>
      <c r="C29" s="62"/>
      <c r="D29" s="62"/>
      <c r="E29" s="62"/>
      <c r="F29" s="62"/>
      <c r="G29" s="62"/>
      <c r="H29" s="62"/>
      <c r="I29" s="62"/>
      <c r="J29" s="62"/>
      <c r="K29" s="62"/>
      <c r="L29" s="153"/>
      <c r="M29" s="9"/>
      <c r="N29" s="18" t="s">
        <v>20</v>
      </c>
      <c r="O29" s="49">
        <f t="shared" si="15"/>
        <v>0</v>
      </c>
      <c r="P29" s="49">
        <f t="shared" si="15"/>
        <v>0</v>
      </c>
      <c r="Q29" s="8">
        <f t="shared" si="14"/>
        <v>0</v>
      </c>
      <c r="R29" s="47">
        <f t="shared" si="16"/>
        <v>0</v>
      </c>
      <c r="S29" s="50">
        <f t="shared" si="17"/>
        <v>0</v>
      </c>
      <c r="T29" s="262">
        <f t="shared" si="18"/>
        <v>0</v>
      </c>
      <c r="U29" s="263"/>
      <c r="V29" s="51">
        <f t="shared" si="19"/>
        <v>0</v>
      </c>
      <c r="W29" s="31">
        <f t="shared" si="20"/>
        <v>0</v>
      </c>
      <c r="X29" s="31">
        <f t="shared" si="21"/>
        <v>0</v>
      </c>
      <c r="Y29" s="31">
        <f t="shared" si="22"/>
        <v>0</v>
      </c>
      <c r="Z29" s="31">
        <f t="shared" si="23"/>
        <v>0</v>
      </c>
    </row>
    <row r="30" spans="1:27" ht="30" customHeight="1">
      <c r="A30" s="152"/>
      <c r="B30" s="171" t="s">
        <v>116</v>
      </c>
      <c r="C30" s="62"/>
      <c r="D30" s="62"/>
      <c r="E30" s="62"/>
      <c r="F30" s="62"/>
      <c r="G30" s="62"/>
      <c r="H30" s="62"/>
      <c r="I30" s="62"/>
      <c r="J30" s="62"/>
      <c r="K30" s="62"/>
      <c r="L30" s="153"/>
      <c r="M30" s="13"/>
      <c r="N30" s="18" t="s">
        <v>21</v>
      </c>
      <c r="O30" s="49">
        <f t="shared" si="15"/>
        <v>0</v>
      </c>
      <c r="P30" s="49">
        <f t="shared" si="15"/>
        <v>0</v>
      </c>
      <c r="Q30" s="8">
        <f t="shared" si="14"/>
        <v>0</v>
      </c>
      <c r="R30" s="47">
        <f t="shared" si="16"/>
        <v>0</v>
      </c>
      <c r="S30" s="50">
        <f t="shared" si="17"/>
        <v>0</v>
      </c>
      <c r="T30" s="262">
        <f t="shared" si="18"/>
        <v>0</v>
      </c>
      <c r="U30" s="263"/>
      <c r="V30" s="51">
        <f t="shared" si="19"/>
        <v>0</v>
      </c>
      <c r="W30" s="31">
        <f t="shared" si="20"/>
        <v>0</v>
      </c>
      <c r="X30" s="31">
        <f t="shared" si="21"/>
        <v>0</v>
      </c>
      <c r="Y30" s="31">
        <f t="shared" si="22"/>
        <v>0</v>
      </c>
      <c r="Z30" s="31">
        <f t="shared" si="23"/>
        <v>0</v>
      </c>
    </row>
    <row r="31" spans="1:27" ht="35.1" customHeight="1" thickBot="1">
      <c r="A31" s="157"/>
      <c r="B31" s="172"/>
      <c r="C31" s="172"/>
      <c r="D31" s="172"/>
      <c r="E31" s="172"/>
      <c r="F31" s="172"/>
      <c r="G31" s="172"/>
      <c r="H31" s="172"/>
      <c r="I31" s="172"/>
      <c r="J31" s="172"/>
      <c r="K31" s="172"/>
      <c r="L31" s="159"/>
      <c r="N31" s="18" t="s">
        <v>22</v>
      </c>
      <c r="O31" s="49">
        <f t="shared" si="15"/>
        <v>0</v>
      </c>
      <c r="P31" s="49">
        <f t="shared" si="15"/>
        <v>0</v>
      </c>
      <c r="Q31" s="8">
        <f t="shared" si="14"/>
        <v>0</v>
      </c>
      <c r="R31" s="47">
        <f t="shared" si="16"/>
        <v>0</v>
      </c>
      <c r="S31" s="50">
        <f t="shared" si="17"/>
        <v>0</v>
      </c>
      <c r="T31" s="262">
        <f t="shared" si="18"/>
        <v>0</v>
      </c>
      <c r="U31" s="263"/>
      <c r="V31" s="51">
        <f t="shared" si="19"/>
        <v>0</v>
      </c>
      <c r="W31" s="31">
        <f t="shared" si="20"/>
        <v>0</v>
      </c>
      <c r="X31" s="31">
        <f t="shared" si="21"/>
        <v>0</v>
      </c>
      <c r="Y31" s="31">
        <f t="shared" si="22"/>
        <v>0</v>
      </c>
      <c r="Z31" s="31">
        <f t="shared" si="23"/>
        <v>0</v>
      </c>
    </row>
    <row r="32" spans="1:27" ht="39.9" customHeight="1" thickBot="1">
      <c r="A32" s="148" t="s">
        <v>159</v>
      </c>
      <c r="B32" s="160"/>
      <c r="C32" s="160"/>
      <c r="D32" s="160"/>
      <c r="E32" s="160"/>
      <c r="F32" s="160"/>
      <c r="G32" s="161"/>
      <c r="H32" s="161"/>
      <c r="I32" s="149"/>
      <c r="J32" s="149"/>
      <c r="K32" s="149"/>
      <c r="L32" s="151"/>
      <c r="N32" s="10" t="s">
        <v>23</v>
      </c>
      <c r="O32" s="49">
        <f t="shared" si="15"/>
        <v>0</v>
      </c>
      <c r="P32" s="49">
        <f t="shared" si="15"/>
        <v>0</v>
      </c>
      <c r="Q32" s="11">
        <f t="shared" si="14"/>
        <v>0</v>
      </c>
      <c r="R32" s="47">
        <f t="shared" si="16"/>
        <v>0</v>
      </c>
      <c r="S32" s="50">
        <f t="shared" si="17"/>
        <v>0</v>
      </c>
      <c r="T32" s="178">
        <f t="shared" si="18"/>
        <v>0</v>
      </c>
      <c r="U32" s="179"/>
      <c r="V32" s="51">
        <f t="shared" si="19"/>
        <v>0</v>
      </c>
      <c r="W32" s="31">
        <f t="shared" si="20"/>
        <v>0</v>
      </c>
      <c r="X32" s="31">
        <f t="shared" si="21"/>
        <v>0</v>
      </c>
      <c r="Y32" s="26">
        <f t="shared" si="22"/>
        <v>0</v>
      </c>
      <c r="Z32" s="31">
        <f t="shared" si="23"/>
        <v>0</v>
      </c>
    </row>
    <row r="33" spans="1:27" ht="35.1" customHeight="1" thickTop="1" thickBot="1">
      <c r="A33" s="152"/>
      <c r="B33" s="201"/>
      <c r="C33" s="202"/>
      <c r="D33" s="203"/>
      <c r="E33" s="287" t="s">
        <v>192</v>
      </c>
      <c r="F33" s="287"/>
      <c r="G33" s="287" t="s">
        <v>193</v>
      </c>
      <c r="H33" s="287"/>
      <c r="I33" s="287" t="s">
        <v>194</v>
      </c>
      <c r="J33" s="287"/>
      <c r="L33" s="153"/>
      <c r="N33" s="37" t="s">
        <v>18</v>
      </c>
      <c r="O33" s="48"/>
      <c r="P33" s="48"/>
      <c r="Q33" s="35"/>
      <c r="R33" s="35"/>
      <c r="S33" s="39"/>
      <c r="T33" s="281">
        <f>SUM(T27:T32)</f>
        <v>3500000</v>
      </c>
      <c r="U33" s="282"/>
      <c r="V33" s="53">
        <f>SUM(V27:V32)</f>
        <v>2</v>
      </c>
      <c r="W33" s="54">
        <f>SUM(W27:W32)</f>
        <v>2</v>
      </c>
      <c r="X33" s="54">
        <f t="shared" ref="X33:Y33" si="24">SUM(X27:X32)</f>
        <v>0</v>
      </c>
      <c r="Y33" s="54">
        <f t="shared" si="24"/>
        <v>2</v>
      </c>
      <c r="Z33" s="54">
        <f>SUM(Z27:Z32)</f>
        <v>2</v>
      </c>
    </row>
    <row r="34" spans="1:27" ht="35.1" customHeight="1">
      <c r="A34" s="152"/>
      <c r="B34" s="287" t="s">
        <v>30</v>
      </c>
      <c r="C34" s="287"/>
      <c r="D34" s="287"/>
      <c r="E34" s="192">
        <f>ROUNDDOWN(T22*O3*IF(OR(C11="",D11=""),0,1),0)</f>
        <v>257664</v>
      </c>
      <c r="F34" s="192"/>
      <c r="G34" s="192">
        <f>ROUNDDOWN(T22*P3*IF(OR(C11="",D11=""),0,1),0)</f>
        <v>75504</v>
      </c>
      <c r="H34" s="192"/>
      <c r="I34" s="192">
        <f>ROUNDDOWN(W22*R3*IF(OR(C11="",D11=""),0,1),0)</f>
        <v>61512</v>
      </c>
      <c r="J34" s="192"/>
      <c r="K34" s="16"/>
      <c r="L34" s="153"/>
      <c r="N34" s="3"/>
      <c r="O34" s="3"/>
      <c r="P34" s="3"/>
      <c r="T34" s="83"/>
      <c r="U34" s="83"/>
      <c r="V34" s="84"/>
      <c r="W34" s="85"/>
      <c r="X34" s="85"/>
      <c r="Y34" s="85"/>
      <c r="Z34" s="84"/>
    </row>
    <row r="35" spans="1:27" ht="30" customHeight="1">
      <c r="A35" s="152"/>
      <c r="B35" s="197" t="s">
        <v>6</v>
      </c>
      <c r="C35" s="197"/>
      <c r="D35" s="197"/>
      <c r="E35" s="192">
        <f>IF(V39="○",Z3,IF(W39="○",Z4,IF(X39="○",Z5,O4)))*W33*IF(OR(C11="",D11=""),0,1)+IF(V39="○",U9,IF(W39="○",U10,IF(X39="○",U11,U8)))*X33*IF(OR(C11="",D11=""),0,1)</f>
        <v>62800</v>
      </c>
      <c r="F35" s="192"/>
      <c r="G35" s="192">
        <f>IF(V39="○",AA3,IF(W39="○",AA4,IF(X39="○",AA5,P4)))*W33*IF(OR(C11="",D11=""),0,1)+IF(V39="○",V9,IF(W39="○",V10,IF(X39="○",V11,V8)))*X33*IF(OR(C11="",D11=""),0,1)</f>
        <v>19400</v>
      </c>
      <c r="H35" s="192"/>
      <c r="I35" s="192">
        <f>IF(V39="○",AC3,IF(W39="○",AC4,IF(X39="○",AC5,R4)))*Z33*IF(OR(C12="",D12=""),0,1)</f>
        <v>23200</v>
      </c>
      <c r="J35" s="192"/>
      <c r="K35" s="115" t="str">
        <f>IF(COUNTIF(H12:H16,"〇")&gt;0,"※給与所得30/100入力有","")</f>
        <v/>
      </c>
      <c r="L35" s="153"/>
    </row>
    <row r="36" spans="1:27" ht="30" customHeight="1">
      <c r="A36" s="152"/>
      <c r="B36" s="197" t="s">
        <v>123</v>
      </c>
      <c r="C36" s="197"/>
      <c r="D36" s="197"/>
      <c r="E36" s="190">
        <f>IF(V39="○",U3,IF(W39="○",U4,IF(X39="○",U5,U2)))</f>
        <v>33500</v>
      </c>
      <c r="F36" s="191"/>
      <c r="G36" s="190">
        <f>IF(V39="○",V3,IF(W39="○",V4,IF(X39="○",V5,V2)))</f>
        <v>10300</v>
      </c>
      <c r="H36" s="191"/>
      <c r="I36" s="190">
        <v>6100</v>
      </c>
      <c r="J36" s="191"/>
      <c r="K36" s="93" t="str">
        <f>IF(COUNTIFS(C12,"&lt;&gt;",D12,"&lt;&gt;")=1,IF(COUNTIFS(C12:C16,"加入",D12:D16,"0～6才")+COUNTIFS(C12:C16,"加入",D12:D16,"7～18才")+COUNTIFS(C12:C16,"加入",D12:D16,"19～39才")+COUNTIFS(C12:C16,"加入",D12:D16,"40～64才")+COUNTIFS(C12:C16,"加入",D12:D16,"65～74才")&gt;0,IF(S40&lt;=O38,"※7割減額",IF(S40&lt;=(P38+(P39*Y33)),"※5割減額",IF(S40&lt;=Q38+(Q39*Y33),"※2割減額",""))),""),"")</f>
        <v/>
      </c>
      <c r="L36" s="153"/>
      <c r="N36" s="62" t="s">
        <v>166</v>
      </c>
      <c r="O36" s="62"/>
    </row>
    <row r="37" spans="1:27" ht="39.9" customHeight="1" thickBot="1">
      <c r="A37" s="152"/>
      <c r="B37" s="249" t="s">
        <v>11</v>
      </c>
      <c r="C37" s="249"/>
      <c r="D37" s="249"/>
      <c r="E37" s="193">
        <f>ROUNDDOWN(IF((E34+E35+E36)&gt;O5,O5,E34+E35+E36),-2)</f>
        <v>353900</v>
      </c>
      <c r="F37" s="193"/>
      <c r="G37" s="193">
        <f>ROUNDDOWN(IF((G34+G35+G36)&gt;P5,P5,G34+G35+G36),-2)</f>
        <v>105200</v>
      </c>
      <c r="H37" s="193"/>
      <c r="I37" s="193">
        <f>ROUNDDOWN(IF((I34+I35+I36)&gt;R5,R5,I34+I35+I36),-2)</f>
        <v>90800</v>
      </c>
      <c r="J37" s="193"/>
      <c r="L37" s="153"/>
      <c r="N37" s="5"/>
      <c r="O37" s="18" t="s">
        <v>0</v>
      </c>
      <c r="P37" s="18" t="s">
        <v>1</v>
      </c>
      <c r="Q37" s="18" t="s">
        <v>2</v>
      </c>
    </row>
    <row r="38" spans="1:27" ht="30" customHeight="1">
      <c r="A38" s="152"/>
      <c r="B38" s="248" t="s">
        <v>160</v>
      </c>
      <c r="C38" s="248"/>
      <c r="D38" s="248"/>
      <c r="E38" s="247">
        <v>650000</v>
      </c>
      <c r="F38" s="247"/>
      <c r="G38" s="247">
        <v>220000</v>
      </c>
      <c r="H38" s="247"/>
      <c r="I38" s="247">
        <v>170000</v>
      </c>
      <c r="J38" s="247"/>
      <c r="L38" s="153"/>
      <c r="N38" s="5" t="s">
        <v>7</v>
      </c>
      <c r="O38" s="32">
        <v>430000</v>
      </c>
      <c r="P38" s="32">
        <v>430000</v>
      </c>
      <c r="Q38" s="32">
        <v>430000</v>
      </c>
      <c r="S38" s="277" t="s">
        <v>106</v>
      </c>
      <c r="T38" s="278"/>
      <c r="U38" s="272" t="s">
        <v>84</v>
      </c>
      <c r="V38" s="18" t="s">
        <v>0</v>
      </c>
      <c r="W38" s="18" t="s">
        <v>1</v>
      </c>
      <c r="X38" s="18" t="s">
        <v>2</v>
      </c>
    </row>
    <row r="39" spans="1:27" ht="30" customHeight="1" thickBot="1">
      <c r="A39" s="152"/>
      <c r="L39" s="153"/>
      <c r="N39" s="6" t="s">
        <v>8</v>
      </c>
      <c r="O39" s="33" t="s">
        <v>9</v>
      </c>
      <c r="P39" s="32">
        <v>305000</v>
      </c>
      <c r="Q39" s="32">
        <v>560000</v>
      </c>
      <c r="S39" s="279" t="s">
        <v>82</v>
      </c>
      <c r="T39" s="280"/>
      <c r="U39" s="272"/>
      <c r="V39" s="18" t="str">
        <f>IF(S40&lt;=O38,"○","✖")</f>
        <v>✖</v>
      </c>
      <c r="W39" s="18" t="str">
        <f>IF(AND(O38&lt;S40,S40&lt;=(P38+(P39*Y33))),"○","✖")</f>
        <v>✖</v>
      </c>
      <c r="X39" s="18" t="str">
        <f>IF(AND(P38+(P39*Y33)&lt;S40,S40&lt;=Q38+(Q39*Y33)),"○","✖")</f>
        <v>✖</v>
      </c>
    </row>
    <row r="40" spans="1:27" ht="30" customHeight="1" thickBot="1">
      <c r="A40" s="152"/>
      <c r="B40" s="244" t="s">
        <v>132</v>
      </c>
      <c r="C40" s="245"/>
      <c r="D40" s="245"/>
      <c r="E40" s="245"/>
      <c r="F40" s="246"/>
      <c r="G40" s="316">
        <f>IF(E35=0,0,SUM(E37:J37))</f>
        <v>549900</v>
      </c>
      <c r="H40" s="317"/>
      <c r="I40" s="317"/>
      <c r="J40" s="318"/>
      <c r="L40" s="153"/>
      <c r="N40" s="283" t="s">
        <v>83</v>
      </c>
      <c r="O40" s="201" t="s">
        <v>47</v>
      </c>
      <c r="P40" s="202"/>
      <c r="Q40" s="203"/>
      <c r="S40" s="270">
        <f>T33-O41</f>
        <v>3400000</v>
      </c>
      <c r="T40" s="271"/>
      <c r="Z40" s="52"/>
      <c r="AA40" s="52"/>
    </row>
    <row r="41" spans="1:27" ht="30" customHeight="1">
      <c r="A41" s="152"/>
      <c r="B41" s="144" t="s">
        <v>156</v>
      </c>
      <c r="L41" s="153"/>
      <c r="N41" s="284"/>
      <c r="O41" s="184">
        <f>IF(V33&lt;2,0,(V33-1)*100000)</f>
        <v>100000</v>
      </c>
      <c r="P41" s="185"/>
      <c r="Q41" s="186"/>
      <c r="Y41" s="52"/>
      <c r="Z41" s="52"/>
      <c r="AA41" s="52"/>
    </row>
    <row r="42" spans="1:27" ht="30" customHeight="1">
      <c r="A42" s="152"/>
      <c r="B42" s="144" t="s">
        <v>197</v>
      </c>
      <c r="H42" s="1"/>
      <c r="I42" s="1"/>
      <c r="J42" s="1"/>
      <c r="L42" s="153"/>
      <c r="Y42" s="52"/>
      <c r="Z42" s="52"/>
      <c r="AA42" s="52"/>
    </row>
    <row r="43" spans="1:27" ht="39.9" customHeight="1">
      <c r="A43" s="152"/>
      <c r="B43" s="144" t="s">
        <v>154</v>
      </c>
      <c r="C43" s="1"/>
      <c r="D43" s="1"/>
      <c r="E43" s="1"/>
      <c r="F43" s="1"/>
      <c r="L43" s="153"/>
      <c r="N43" s="62" t="s">
        <v>102</v>
      </c>
      <c r="O43" s="45"/>
      <c r="P43" s="45"/>
      <c r="Q43" s="45"/>
      <c r="R43" s="45"/>
      <c r="S43" s="45"/>
      <c r="T43" s="45"/>
      <c r="U43" s="45"/>
      <c r="V43" s="45"/>
      <c r="W43" s="45"/>
      <c r="X43" s="45"/>
      <c r="Y43" s="76"/>
      <c r="Z43" s="76"/>
      <c r="AA43" s="76"/>
    </row>
    <row r="44" spans="1:27" ht="30" customHeight="1" thickBot="1">
      <c r="A44" s="152"/>
      <c r="B44" s="144" t="s">
        <v>155</v>
      </c>
      <c r="C44" s="1"/>
      <c r="D44" s="1"/>
      <c r="E44" s="1"/>
      <c r="F44" s="1"/>
      <c r="L44" s="153"/>
      <c r="N44" s="62" t="s">
        <v>110</v>
      </c>
      <c r="O44" s="45"/>
      <c r="P44" s="62" t="s">
        <v>112</v>
      </c>
      <c r="Q44" s="62"/>
      <c r="R44" s="62"/>
      <c r="S44" s="62"/>
      <c r="T44" s="62"/>
      <c r="U44" s="62"/>
      <c r="V44" s="62"/>
      <c r="W44" s="62"/>
      <c r="X44" s="62"/>
      <c r="Y44" s="137"/>
      <c r="Z44" s="137"/>
      <c r="AA44" s="137"/>
    </row>
    <row r="45" spans="1:27" ht="21.75" customHeight="1" thickBot="1">
      <c r="A45" s="157"/>
      <c r="B45" s="162" t="s">
        <v>133</v>
      </c>
      <c r="C45" s="163"/>
      <c r="D45" s="164"/>
      <c r="E45" s="164"/>
      <c r="F45" s="164"/>
      <c r="G45" s="164"/>
      <c r="H45" s="165"/>
      <c r="I45" s="164"/>
      <c r="J45" s="164"/>
      <c r="K45" s="158"/>
      <c r="L45" s="159"/>
      <c r="N45" s="136">
        <f>IF(G49="","",MONTH(G49))</f>
        <v>12</v>
      </c>
      <c r="O45" s="45"/>
      <c r="P45" s="138">
        <v>4</v>
      </c>
      <c r="Q45" s="138">
        <v>5</v>
      </c>
      <c r="R45" s="138">
        <v>6</v>
      </c>
      <c r="S45" s="138">
        <v>7</v>
      </c>
      <c r="T45" s="138">
        <v>8</v>
      </c>
      <c r="U45" s="138">
        <v>9</v>
      </c>
      <c r="V45" s="138">
        <v>10</v>
      </c>
      <c r="W45" s="138">
        <v>11</v>
      </c>
      <c r="X45" s="138">
        <v>12</v>
      </c>
      <c r="Y45" s="138">
        <v>1</v>
      </c>
      <c r="Z45" s="138">
        <v>2</v>
      </c>
      <c r="AA45" s="138">
        <v>3</v>
      </c>
    </row>
    <row r="46" spans="1:27" ht="21.75" customHeight="1" thickBot="1">
      <c r="A46" s="148" t="s">
        <v>157</v>
      </c>
      <c r="B46" s="149"/>
      <c r="C46" s="149"/>
      <c r="D46" s="149"/>
      <c r="E46" s="149"/>
      <c r="F46" s="149"/>
      <c r="G46" s="149"/>
      <c r="H46" s="149"/>
      <c r="I46" s="150"/>
      <c r="J46" s="150"/>
      <c r="K46" s="149"/>
      <c r="L46" s="151"/>
      <c r="N46" s="62" t="s">
        <v>111</v>
      </c>
      <c r="O46" s="45"/>
      <c r="P46" s="139">
        <v>12</v>
      </c>
      <c r="Q46" s="140">
        <v>11</v>
      </c>
      <c r="R46" s="140">
        <v>10</v>
      </c>
      <c r="S46" s="140">
        <v>9</v>
      </c>
      <c r="T46" s="140">
        <v>8</v>
      </c>
      <c r="U46" s="140">
        <v>7</v>
      </c>
      <c r="V46" s="140">
        <v>6</v>
      </c>
      <c r="W46" s="140">
        <v>5</v>
      </c>
      <c r="X46" s="140">
        <v>4</v>
      </c>
      <c r="Y46" s="140">
        <v>3</v>
      </c>
      <c r="Z46" s="140">
        <v>2</v>
      </c>
      <c r="AA46" s="141">
        <v>1</v>
      </c>
    </row>
    <row r="47" spans="1:27">
      <c r="A47" s="152"/>
      <c r="I47" s="15"/>
      <c r="J47" s="15"/>
      <c r="L47" s="153"/>
      <c r="N47" s="182">
        <f>IF(N45="",12,HLOOKUP(N45,P45:AA46,2,0))</f>
        <v>4</v>
      </c>
      <c r="O47" s="45"/>
      <c r="P47" s="77"/>
      <c r="Q47" s="77"/>
      <c r="R47" s="77"/>
      <c r="S47" s="77"/>
      <c r="T47" s="45"/>
      <c r="U47" s="45"/>
      <c r="V47" s="45"/>
      <c r="W47" s="45"/>
      <c r="X47" s="45"/>
      <c r="Y47" s="76"/>
      <c r="Z47" s="45"/>
      <c r="AA47" s="45"/>
    </row>
    <row r="48" spans="1:27" ht="9.75" customHeight="1" thickBot="1">
      <c r="A48" s="152"/>
      <c r="L48" s="153"/>
      <c r="N48" s="183"/>
      <c r="O48" s="45"/>
      <c r="P48" s="142" t="s">
        <v>167</v>
      </c>
      <c r="Q48" s="142"/>
      <c r="R48" s="77"/>
      <c r="S48" s="77"/>
      <c r="T48" s="45"/>
      <c r="U48" s="45"/>
      <c r="V48" s="45"/>
      <c r="W48" s="45"/>
      <c r="X48" s="45"/>
      <c r="Y48" s="45"/>
      <c r="Z48" s="45"/>
      <c r="AA48" s="45"/>
    </row>
    <row r="49" spans="1:27" ht="24" customHeight="1">
      <c r="A49" s="152"/>
      <c r="B49" s="210" t="s">
        <v>101</v>
      </c>
      <c r="C49" s="211"/>
      <c r="D49" s="211"/>
      <c r="E49" s="211"/>
      <c r="F49" s="212"/>
      <c r="G49" s="325">
        <v>44896</v>
      </c>
      <c r="H49" s="326"/>
      <c r="I49" s="326"/>
      <c r="J49" s="327"/>
      <c r="L49" s="153"/>
      <c r="N49" s="77"/>
      <c r="O49" s="45"/>
      <c r="P49" s="70" t="s">
        <v>109</v>
      </c>
      <c r="Q49" s="75">
        <v>2025</v>
      </c>
      <c r="R49" s="75">
        <v>4</v>
      </c>
      <c r="S49" s="77"/>
      <c r="T49" s="45"/>
      <c r="U49" s="45"/>
      <c r="V49" s="45"/>
      <c r="W49" s="45"/>
      <c r="X49" s="45"/>
      <c r="Y49" s="45"/>
      <c r="Z49" s="45"/>
      <c r="AA49" s="45"/>
    </row>
    <row r="50" spans="1:27" ht="21.75" customHeight="1" thickBot="1">
      <c r="A50" s="152"/>
      <c r="B50" s="213"/>
      <c r="C50" s="214"/>
      <c r="D50" s="214"/>
      <c r="E50" s="214"/>
      <c r="F50" s="215"/>
      <c r="G50" s="328"/>
      <c r="H50" s="329"/>
      <c r="I50" s="329"/>
      <c r="J50" s="330"/>
      <c r="L50" s="153"/>
      <c r="M50" s="1"/>
      <c r="N50" s="77"/>
      <c r="O50" s="45"/>
      <c r="P50" s="70" t="s">
        <v>108</v>
      </c>
      <c r="Q50" s="75">
        <f>Q49+1</f>
        <v>2026</v>
      </c>
      <c r="R50" s="75">
        <v>3</v>
      </c>
      <c r="S50" s="77"/>
      <c r="T50" s="45"/>
      <c r="U50" s="45"/>
      <c r="V50" s="45"/>
      <c r="W50" s="45"/>
      <c r="X50" s="45"/>
    </row>
    <row r="51" spans="1:27" ht="21.75" customHeight="1">
      <c r="A51" s="152"/>
      <c r="B51" s="143" t="s">
        <v>113</v>
      </c>
      <c r="L51" s="153"/>
      <c r="N51" s="99" t="s">
        <v>161</v>
      </c>
      <c r="O51" s="62"/>
      <c r="P51" s="99"/>
      <c r="Q51" s="77"/>
      <c r="R51" s="77"/>
      <c r="S51" s="77"/>
      <c r="T51" s="45"/>
      <c r="U51" s="45"/>
      <c r="V51" s="45"/>
      <c r="W51" s="45"/>
      <c r="X51" s="45"/>
    </row>
    <row r="52" spans="1:27" ht="21.75" customHeight="1">
      <c r="A52" s="152"/>
      <c r="B52" s="224" t="s">
        <v>107</v>
      </c>
      <c r="C52" s="226"/>
      <c r="D52" s="224" t="s">
        <v>109</v>
      </c>
      <c r="E52" s="228" t="str">
        <f>IF(N45="",Q49&amp;"年"&amp;R49&amp;"月",IF(OR((N45=1),(N45=2),(N45=3)),(Q50&amp;"年"&amp;N45&amp;"月"),Q49&amp;"年"&amp;N45&amp;"月"))</f>
        <v>2025年12月</v>
      </c>
      <c r="F52" s="229"/>
      <c r="G52" s="224" t="s">
        <v>108</v>
      </c>
      <c r="H52" s="232" t="str">
        <f>Q50&amp;"年"&amp;R50&amp;"月"</f>
        <v>2026年3月</v>
      </c>
      <c r="I52" s="233"/>
      <c r="J52" s="80"/>
      <c r="L52" s="153"/>
      <c r="N52" s="70" t="s">
        <v>162</v>
      </c>
      <c r="O52" s="70" t="s">
        <v>163</v>
      </c>
      <c r="P52" s="70" t="s">
        <v>129</v>
      </c>
      <c r="Q52" s="77"/>
      <c r="R52" s="77"/>
      <c r="S52" s="77"/>
      <c r="T52" s="45"/>
      <c r="U52" s="45"/>
      <c r="V52" s="45"/>
      <c r="W52" s="45"/>
      <c r="X52" s="45"/>
    </row>
    <row r="53" spans="1:27" ht="21.75" customHeight="1">
      <c r="A53" s="152"/>
      <c r="B53" s="225"/>
      <c r="C53" s="227"/>
      <c r="D53" s="225"/>
      <c r="E53" s="230"/>
      <c r="F53" s="231"/>
      <c r="G53" s="225"/>
      <c r="H53" s="225"/>
      <c r="I53" s="234"/>
      <c r="J53" s="80"/>
      <c r="L53" s="153"/>
      <c r="N53" s="70">
        <f>ROUNDDOWN(E37*N47/12,-2)</f>
        <v>117900</v>
      </c>
      <c r="O53" s="70">
        <f>ROUNDDOWN(G37*N47/12,-2)</f>
        <v>35000</v>
      </c>
      <c r="P53" s="70">
        <f>ROUNDDOWN(I37*N47/12,-2)</f>
        <v>30200</v>
      </c>
      <c r="Q53" s="77"/>
      <c r="R53" s="77"/>
      <c r="S53" s="77"/>
      <c r="T53" s="45"/>
      <c r="U53" s="45"/>
      <c r="V53" s="45"/>
      <c r="W53" s="45"/>
      <c r="X53" s="45"/>
    </row>
    <row r="54" spans="1:27" ht="21.75" customHeight="1" thickBot="1">
      <c r="A54" s="152"/>
      <c r="L54" s="153"/>
      <c r="N54" s="243">
        <f>SUM(N53:P53)</f>
        <v>183100</v>
      </c>
      <c r="O54" s="243"/>
      <c r="P54" s="243"/>
      <c r="Q54" s="77"/>
      <c r="R54" s="77"/>
      <c r="S54" s="77"/>
      <c r="T54" s="45"/>
      <c r="U54" s="45"/>
      <c r="V54" s="45"/>
      <c r="W54" s="45"/>
      <c r="X54" s="45"/>
    </row>
    <row r="55" spans="1:27" ht="21.75" customHeight="1">
      <c r="A55" s="152"/>
      <c r="B55" s="235" t="s">
        <v>135</v>
      </c>
      <c r="C55" s="236"/>
      <c r="D55" s="236"/>
      <c r="E55" s="241">
        <f>N47</f>
        <v>4</v>
      </c>
      <c r="F55" s="239" t="s">
        <v>136</v>
      </c>
      <c r="G55" s="319">
        <f>IF(G49="","0円",N54)</f>
        <v>183100</v>
      </c>
      <c r="H55" s="320"/>
      <c r="I55" s="320"/>
      <c r="J55" s="321"/>
      <c r="L55" s="153"/>
      <c r="N55" s="77"/>
      <c r="O55" s="45"/>
      <c r="P55" s="77"/>
      <c r="Q55" s="77"/>
      <c r="R55" s="77"/>
      <c r="S55" s="77"/>
      <c r="T55" s="45"/>
      <c r="U55" s="45"/>
      <c r="V55" s="45"/>
      <c r="W55" s="45"/>
      <c r="X55" s="45"/>
    </row>
    <row r="56" spans="1:27" ht="18" customHeight="1" thickBot="1">
      <c r="A56" s="152"/>
      <c r="B56" s="237"/>
      <c r="C56" s="238"/>
      <c r="D56" s="238"/>
      <c r="E56" s="242"/>
      <c r="F56" s="240"/>
      <c r="G56" s="322"/>
      <c r="H56" s="323"/>
      <c r="I56" s="323"/>
      <c r="J56" s="324"/>
      <c r="L56" s="153"/>
      <c r="O56" s="45"/>
      <c r="P56" s="77"/>
      <c r="Q56" s="77"/>
      <c r="R56" s="77"/>
      <c r="S56" s="77"/>
      <c r="T56" s="45"/>
      <c r="U56" s="45"/>
      <c r="V56" s="45"/>
      <c r="W56" s="45"/>
      <c r="X56" s="45"/>
    </row>
    <row r="57" spans="1:27" ht="21.75" customHeight="1" thickBot="1">
      <c r="A57" s="152"/>
      <c r="B57" s="78"/>
      <c r="C57" s="78"/>
      <c r="D57" s="78"/>
      <c r="E57" s="78"/>
      <c r="F57" s="78"/>
      <c r="G57" s="79"/>
      <c r="H57" s="79"/>
      <c r="I57" s="79"/>
      <c r="J57" s="79"/>
      <c r="L57" s="153"/>
      <c r="P57" s="3"/>
      <c r="Q57" s="3"/>
      <c r="R57" s="3"/>
      <c r="S57" s="3"/>
    </row>
    <row r="58" spans="1:27" ht="21.75" customHeight="1">
      <c r="A58" s="152"/>
      <c r="B58" s="210" t="s">
        <v>153</v>
      </c>
      <c r="C58" s="211"/>
      <c r="D58" s="211"/>
      <c r="E58" s="211"/>
      <c r="F58" s="211"/>
      <c r="G58" s="319">
        <f>IF(G49="",G40,IFERROR(ROUNDUP((G55/E55),0),"0円"))</f>
        <v>45775</v>
      </c>
      <c r="H58" s="320"/>
      <c r="I58" s="320"/>
      <c r="J58" s="321"/>
      <c r="L58" s="153"/>
      <c r="N58" s="222"/>
      <c r="O58" s="222"/>
      <c r="P58" s="222"/>
      <c r="Q58" s="222"/>
      <c r="R58" s="222"/>
      <c r="S58" s="222"/>
      <c r="T58" s="222"/>
      <c r="U58" s="222"/>
      <c r="V58" s="222"/>
      <c r="W58" s="222"/>
      <c r="X58" s="222"/>
    </row>
    <row r="59" spans="1:27" ht="21.75" customHeight="1" thickBot="1">
      <c r="A59" s="152"/>
      <c r="B59" s="213"/>
      <c r="C59" s="214"/>
      <c r="D59" s="214"/>
      <c r="E59" s="214"/>
      <c r="F59" s="214"/>
      <c r="G59" s="322"/>
      <c r="H59" s="323"/>
      <c r="I59" s="323"/>
      <c r="J59" s="324"/>
      <c r="L59" s="153"/>
      <c r="N59" s="223"/>
      <c r="O59" s="223"/>
      <c r="P59" s="223"/>
      <c r="Q59" s="223"/>
      <c r="R59" s="223"/>
      <c r="S59" s="223"/>
      <c r="T59" s="223"/>
      <c r="U59" s="223"/>
      <c r="V59" s="223"/>
      <c r="W59" s="223"/>
      <c r="X59" s="223"/>
    </row>
    <row r="60" spans="1:27" ht="21.75" customHeight="1">
      <c r="A60" s="152"/>
      <c r="B60" s="144" t="s">
        <v>103</v>
      </c>
      <c r="L60" s="153"/>
      <c r="N60" s="223"/>
      <c r="O60" s="223"/>
      <c r="P60" s="223"/>
      <c r="Q60" s="223"/>
      <c r="R60" s="223"/>
      <c r="S60" s="223"/>
      <c r="T60" s="223"/>
      <c r="U60" s="223"/>
      <c r="V60" s="223"/>
      <c r="W60" s="223"/>
      <c r="X60" s="223"/>
    </row>
    <row r="61" spans="1:27" ht="14.4">
      <c r="A61" s="152"/>
      <c r="B61" s="144" t="s">
        <v>124</v>
      </c>
      <c r="L61" s="153"/>
      <c r="N61" s="223"/>
      <c r="O61" s="223"/>
      <c r="P61" s="223"/>
      <c r="Q61" s="223"/>
      <c r="R61" s="223"/>
      <c r="S61" s="223"/>
      <c r="T61" s="223"/>
      <c r="U61" s="223"/>
      <c r="V61" s="223"/>
      <c r="W61" s="223"/>
      <c r="X61" s="223"/>
    </row>
    <row r="62" spans="1:27" ht="19.5" customHeight="1">
      <c r="A62" s="152"/>
      <c r="B62" s="144" t="s">
        <v>195</v>
      </c>
      <c r="C62" s="144"/>
      <c r="D62" s="1"/>
      <c r="E62" s="1"/>
      <c r="F62" s="1"/>
      <c r="G62" s="1"/>
      <c r="H62" s="1"/>
      <c r="I62" s="1"/>
      <c r="J62" s="1"/>
      <c r="L62" s="153"/>
      <c r="M62" s="1"/>
      <c r="N62" s="223"/>
      <c r="O62" s="223"/>
      <c r="P62" s="223"/>
      <c r="Q62" s="223"/>
      <c r="R62" s="223"/>
      <c r="S62" s="223"/>
      <c r="T62" s="223"/>
      <c r="U62" s="223"/>
      <c r="V62" s="223"/>
      <c r="W62" s="223"/>
      <c r="X62" s="223"/>
    </row>
    <row r="63" spans="1:27" ht="19.5" customHeight="1">
      <c r="A63" s="152"/>
      <c r="C63" s="145" t="s">
        <v>196</v>
      </c>
      <c r="K63" s="45"/>
      <c r="L63" s="153"/>
      <c r="M63" s="1"/>
      <c r="N63" s="223"/>
      <c r="O63" s="223"/>
      <c r="P63" s="223"/>
      <c r="Q63" s="223"/>
      <c r="R63" s="223"/>
      <c r="S63" s="223"/>
      <c r="T63" s="223"/>
      <c r="U63" s="223"/>
      <c r="V63" s="223"/>
      <c r="W63" s="223"/>
      <c r="X63" s="223"/>
    </row>
    <row r="64" spans="1:27" ht="19.5" customHeight="1">
      <c r="A64" s="152"/>
      <c r="B64" s="146" t="s">
        <v>125</v>
      </c>
      <c r="C64" s="146"/>
      <c r="D64" s="147"/>
      <c r="E64" s="147"/>
      <c r="F64" s="147"/>
      <c r="G64" s="147"/>
      <c r="H64" s="147"/>
      <c r="I64" s="147"/>
      <c r="J64" s="147"/>
      <c r="K64" s="45"/>
      <c r="L64" s="153"/>
      <c r="M64" s="12"/>
      <c r="N64" s="223"/>
      <c r="O64" s="223"/>
      <c r="P64" s="223"/>
      <c r="Q64" s="223"/>
      <c r="R64" s="223"/>
      <c r="S64" s="223"/>
      <c r="T64" s="223"/>
      <c r="U64" s="223"/>
      <c r="V64" s="223"/>
      <c r="W64" s="223"/>
      <c r="X64" s="223"/>
    </row>
    <row r="65" spans="1:24" ht="19.5" customHeight="1">
      <c r="A65" s="152"/>
      <c r="B65" s="45"/>
      <c r="C65" s="146" t="s">
        <v>118</v>
      </c>
      <c r="D65" s="45"/>
      <c r="E65" s="45"/>
      <c r="F65" s="45"/>
      <c r="G65" s="45"/>
      <c r="H65" s="45"/>
      <c r="I65" s="45"/>
      <c r="J65" s="45"/>
      <c r="L65" s="154"/>
      <c r="M65" s="12"/>
      <c r="N65" s="223"/>
      <c r="O65" s="223"/>
      <c r="P65" s="223"/>
      <c r="Q65" s="223"/>
      <c r="R65" s="223"/>
      <c r="S65" s="223"/>
      <c r="T65" s="223"/>
      <c r="U65" s="223"/>
      <c r="V65" s="223"/>
      <c r="W65" s="223"/>
      <c r="X65" s="223"/>
    </row>
    <row r="66" spans="1:24" ht="19.5" customHeight="1">
      <c r="A66" s="152"/>
      <c r="C66" s="145" t="s">
        <v>134</v>
      </c>
      <c r="L66" s="155"/>
      <c r="M66" s="16"/>
    </row>
    <row r="67" spans="1:24" ht="19.5" customHeight="1">
      <c r="A67" s="152"/>
      <c r="B67" s="146" t="s">
        <v>130</v>
      </c>
      <c r="L67" s="155"/>
    </row>
    <row r="68" spans="1:24" ht="19.5" customHeight="1">
      <c r="A68" s="152"/>
      <c r="C68" s="146" t="s">
        <v>131</v>
      </c>
      <c r="L68" s="156"/>
    </row>
    <row r="69" spans="1:24" ht="19.5" customHeight="1" thickBot="1">
      <c r="A69" s="157"/>
      <c r="B69" s="158"/>
      <c r="C69" s="158"/>
      <c r="D69" s="158"/>
      <c r="E69" s="158"/>
      <c r="F69" s="158"/>
      <c r="G69" s="158"/>
      <c r="H69" s="158"/>
      <c r="I69" s="158"/>
      <c r="J69" s="158"/>
      <c r="K69" s="158"/>
      <c r="L69" s="159"/>
    </row>
    <row r="70" spans="1:24" ht="19.5" customHeight="1"/>
    <row r="71" spans="1:24" ht="19.5" customHeight="1"/>
    <row r="72" spans="1:24" ht="19.5" customHeight="1">
      <c r="N72" s="1"/>
      <c r="O72" s="1"/>
    </row>
    <row r="73" spans="1:24" ht="19.5" customHeight="1">
      <c r="N73" s="1"/>
      <c r="O73" s="1"/>
    </row>
    <row r="74" spans="1:24" ht="19.5" customHeight="1">
      <c r="N74" s="12"/>
      <c r="O74" s="12"/>
      <c r="P74" s="12"/>
    </row>
    <row r="75" spans="1:24" ht="14.4">
      <c r="N75" s="12"/>
      <c r="O75" s="12"/>
      <c r="P75" s="12"/>
    </row>
    <row r="76" spans="1:24" ht="14.4">
      <c r="N76" s="16"/>
      <c r="O76" s="16"/>
      <c r="P76" s="12"/>
    </row>
  </sheetData>
  <sheetProtection algorithmName="SHA-512" hashValue="e9uWrYnvV6/6llQWcO9/UiHdQOB6fA7rm+6IkMMyT3ax1Ohp9rGhS343g9MFu9KOlpObGtTRS6kgZYzrxEJFCg==" saltValue="qCL0ttepK+3pfUwq9gMDDA==" spinCount="100000" sheet="1" objects="1" scenarios="1" selectLockedCells="1" selectUnlockedCells="1"/>
  <protectedRanges>
    <protectedRange sqref="C11:H16" name="範囲1"/>
    <protectedRange sqref="G49" name="範囲2"/>
  </protectedRanges>
  <dataConsolidate link="1"/>
  <mergeCells count="104">
    <mergeCell ref="N54:P54"/>
    <mergeCell ref="B55:D56"/>
    <mergeCell ref="E55:E56"/>
    <mergeCell ref="F55:F56"/>
    <mergeCell ref="G55:J56"/>
    <mergeCell ref="B58:F59"/>
    <mergeCell ref="G58:J59"/>
    <mergeCell ref="N58:X65"/>
    <mergeCell ref="N47:N48"/>
    <mergeCell ref="B49:F50"/>
    <mergeCell ref="G49:J50"/>
    <mergeCell ref="B52:C53"/>
    <mergeCell ref="D52:D53"/>
    <mergeCell ref="E52:F53"/>
    <mergeCell ref="G52:G53"/>
    <mergeCell ref="H52:I53"/>
    <mergeCell ref="S38:T38"/>
    <mergeCell ref="U38:U39"/>
    <mergeCell ref="S39:T39"/>
    <mergeCell ref="B40:F40"/>
    <mergeCell ref="G40:J40"/>
    <mergeCell ref="N40:N41"/>
    <mergeCell ref="O40:Q40"/>
    <mergeCell ref="S40:T40"/>
    <mergeCell ref="O41:Q41"/>
    <mergeCell ref="B37:D37"/>
    <mergeCell ref="E37:F37"/>
    <mergeCell ref="G37:H37"/>
    <mergeCell ref="I37:J37"/>
    <mergeCell ref="B38:D38"/>
    <mergeCell ref="E38:F38"/>
    <mergeCell ref="G38:H38"/>
    <mergeCell ref="I38:J38"/>
    <mergeCell ref="B35:D35"/>
    <mergeCell ref="E35:F35"/>
    <mergeCell ref="G35:H35"/>
    <mergeCell ref="I35:J35"/>
    <mergeCell ref="B36:D36"/>
    <mergeCell ref="E36:F36"/>
    <mergeCell ref="G36:H36"/>
    <mergeCell ref="I36:J36"/>
    <mergeCell ref="B33:D33"/>
    <mergeCell ref="E33:F33"/>
    <mergeCell ref="G33:H33"/>
    <mergeCell ref="I33:J33"/>
    <mergeCell ref="T33:U33"/>
    <mergeCell ref="B34:D34"/>
    <mergeCell ref="E34:F34"/>
    <mergeCell ref="G34:H34"/>
    <mergeCell ref="I34:J34"/>
    <mergeCell ref="T27:U27"/>
    <mergeCell ref="T28:U28"/>
    <mergeCell ref="T29:U29"/>
    <mergeCell ref="T30:U30"/>
    <mergeCell ref="T31:U31"/>
    <mergeCell ref="T32:U32"/>
    <mergeCell ref="T21:U21"/>
    <mergeCell ref="W21:X21"/>
    <mergeCell ref="T22:U22"/>
    <mergeCell ref="W22:X22"/>
    <mergeCell ref="T25:U25"/>
    <mergeCell ref="T26:U26"/>
    <mergeCell ref="T18:U18"/>
    <mergeCell ref="W18:X18"/>
    <mergeCell ref="T19:U19"/>
    <mergeCell ref="W19:X19"/>
    <mergeCell ref="T20:U20"/>
    <mergeCell ref="W20:X20"/>
    <mergeCell ref="J16:K16"/>
    <mergeCell ref="T16:U16"/>
    <mergeCell ref="W16:X16"/>
    <mergeCell ref="T17:U17"/>
    <mergeCell ref="W17:X17"/>
    <mergeCell ref="T14:U14"/>
    <mergeCell ref="W14:X14"/>
    <mergeCell ref="J15:K15"/>
    <mergeCell ref="T15:U15"/>
    <mergeCell ref="W15:X15"/>
    <mergeCell ref="J11:K11"/>
    <mergeCell ref="J12:K12"/>
    <mergeCell ref="N6:N9"/>
    <mergeCell ref="O6:P6"/>
    <mergeCell ref="Q6:R6"/>
    <mergeCell ref="O7:P7"/>
    <mergeCell ref="Q7:R7"/>
    <mergeCell ref="O8:P8"/>
    <mergeCell ref="Q8:R8"/>
    <mergeCell ref="J9:K10"/>
    <mergeCell ref="O9:P9"/>
    <mergeCell ref="Q9:R9"/>
    <mergeCell ref="D9:D10"/>
    <mergeCell ref="E9:E10"/>
    <mergeCell ref="F9:F10"/>
    <mergeCell ref="G9:G10"/>
    <mergeCell ref="H9:H10"/>
    <mergeCell ref="C17:I17"/>
    <mergeCell ref="J17:K17"/>
    <mergeCell ref="A1:L3"/>
    <mergeCell ref="A4:L6"/>
    <mergeCell ref="J13:K13"/>
    <mergeCell ref="J14:K14"/>
    <mergeCell ref="B9:B10"/>
    <mergeCell ref="I9:I10"/>
    <mergeCell ref="C9:C10"/>
  </mergeCells>
  <phoneticPr fontId="1"/>
  <conditionalFormatting sqref="C11:H16">
    <cfRule type="containsBlanks" dxfId="5" priority="3">
      <formula>LEN(TRIM(C11))=0</formula>
    </cfRule>
  </conditionalFormatting>
  <conditionalFormatting sqref="G49:J50">
    <cfRule type="containsBlanks" dxfId="4" priority="1">
      <formula>LEN(TRIM(G49))=0</formula>
    </cfRule>
  </conditionalFormatting>
  <conditionalFormatting sqref="V39:X39">
    <cfRule type="containsText" dxfId="3" priority="2" operator="containsText" text="○">
      <formula>NOT(ISERROR(SEARCH("○",V39)))</formula>
    </cfRule>
  </conditionalFormatting>
  <dataValidations count="5">
    <dataValidation type="list" allowBlank="1" showInputMessage="1" showErrorMessage="1" sqref="D11:D16" xr:uid="{00000000-0002-0000-0100-000000000000}">
      <formula1>"0～6才,7～18才,19～39才,40～64才,65～74才,75才以上"</formula1>
    </dataValidation>
    <dataValidation type="custom" allowBlank="1" showInputMessage="1" showErrorMessage="1" error="0以上の数値を入力してください" sqref="E11:E16" xr:uid="{00000000-0002-0000-0100-000001000000}">
      <formula1>E11&gt;=0</formula1>
    </dataValidation>
    <dataValidation type="list" showInputMessage="1" sqref="H11:H16" xr:uid="{00000000-0002-0000-0100-000002000000}">
      <formula1>"〇,　"</formula1>
    </dataValidation>
    <dataValidation type="list" allowBlank="1" showInputMessage="1" showErrorMessage="1" sqref="C12:C16" xr:uid="{00000000-0002-0000-0100-000003000000}">
      <formula1>"加入"</formula1>
    </dataValidation>
    <dataValidation type="list" allowBlank="1" showErrorMessage="1" sqref="C11" xr:uid="{00000000-0002-0000-0100-000004000000}">
      <formula1>"加入,擬主"</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1"/>
  <colBreaks count="1" manualBreakCount="1">
    <brk id="12" max="3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4" tint="0.59999389629810485"/>
  </sheetPr>
  <dimension ref="A1:AD76"/>
  <sheetViews>
    <sheetView showGridLines="0" view="pageBreakPreview" topLeftCell="A26" zoomScale="70" zoomScaleNormal="55" zoomScaleSheetLayoutView="70" zoomScalePageLayoutView="70" workbookViewId="0">
      <selection activeCell="G13" sqref="G13"/>
    </sheetView>
  </sheetViews>
  <sheetFormatPr defaultColWidth="9" defaultRowHeight="13.2"/>
  <cols>
    <col min="1" max="1" width="7.6640625" style="2" customWidth="1"/>
    <col min="2" max="2" width="11.6640625" style="2" customWidth="1"/>
    <col min="3" max="9" width="14" style="2" customWidth="1"/>
    <col min="10" max="10" width="14.77734375" style="2" customWidth="1"/>
    <col min="11" max="11" width="17.6640625" style="2" customWidth="1"/>
    <col min="12" max="12" width="7.6640625" style="2" customWidth="1"/>
    <col min="13" max="13" width="7.6640625" style="2" hidden="1" customWidth="1"/>
    <col min="14" max="29" width="14.6640625" style="2" hidden="1" customWidth="1"/>
    <col min="30" max="30" width="9" style="2" hidden="1" customWidth="1"/>
    <col min="31" max="16384" width="9" style="2"/>
  </cols>
  <sheetData>
    <row r="1" spans="1:29" ht="24" customHeight="1" thickBot="1">
      <c r="A1" s="266" t="s">
        <v>119</v>
      </c>
      <c r="B1" s="266"/>
      <c r="C1" s="266"/>
      <c r="D1" s="266"/>
      <c r="E1" s="266"/>
      <c r="F1" s="266"/>
      <c r="G1" s="266"/>
      <c r="H1" s="266"/>
      <c r="I1" s="266"/>
      <c r="J1" s="266"/>
      <c r="K1" s="266"/>
      <c r="L1" s="266"/>
      <c r="N1" s="62" t="s">
        <v>168</v>
      </c>
      <c r="O1" s="62"/>
      <c r="P1" s="62"/>
      <c r="Q1" s="62"/>
      <c r="R1" s="62"/>
      <c r="S1" s="62"/>
      <c r="T1" s="3" t="s">
        <v>127</v>
      </c>
      <c r="U1" s="99" t="s">
        <v>3</v>
      </c>
      <c r="V1" s="99" t="s">
        <v>128</v>
      </c>
      <c r="W1" s="99" t="s">
        <v>129</v>
      </c>
      <c r="Y1" s="2" t="s">
        <v>182</v>
      </c>
    </row>
    <row r="2" spans="1:29" ht="24" customHeight="1" thickBot="1">
      <c r="A2" s="266"/>
      <c r="B2" s="266"/>
      <c r="C2" s="266"/>
      <c r="D2" s="266"/>
      <c r="E2" s="266"/>
      <c r="F2" s="266"/>
      <c r="G2" s="266"/>
      <c r="H2" s="266"/>
      <c r="I2" s="266"/>
      <c r="J2" s="266"/>
      <c r="K2" s="266"/>
      <c r="L2" s="266"/>
      <c r="N2" s="63"/>
      <c r="O2" s="64" t="s">
        <v>3</v>
      </c>
      <c r="P2" s="65" t="s">
        <v>39</v>
      </c>
      <c r="Q2" s="66" t="s">
        <v>46</v>
      </c>
      <c r="R2" s="67" t="s">
        <v>5</v>
      </c>
      <c r="S2" s="95"/>
      <c r="T2" s="18" t="s">
        <v>126</v>
      </c>
      <c r="U2" s="122">
        <v>33500</v>
      </c>
      <c r="V2" s="123">
        <v>10300</v>
      </c>
      <c r="W2" s="124">
        <v>6100</v>
      </c>
      <c r="Y2" s="26"/>
      <c r="Z2" s="27" t="s">
        <v>3</v>
      </c>
      <c r="AA2" s="28" t="s">
        <v>4</v>
      </c>
      <c r="AB2" s="29" t="s">
        <v>45</v>
      </c>
      <c r="AC2" s="30" t="s">
        <v>5</v>
      </c>
    </row>
    <row r="3" spans="1:29" ht="24" customHeight="1" thickTop="1" thickBot="1">
      <c r="A3" s="267"/>
      <c r="B3" s="267"/>
      <c r="C3" s="267"/>
      <c r="D3" s="267"/>
      <c r="E3" s="267"/>
      <c r="F3" s="267"/>
      <c r="G3" s="267"/>
      <c r="H3" s="267"/>
      <c r="I3" s="267"/>
      <c r="J3" s="267"/>
      <c r="K3" s="267"/>
      <c r="L3" s="267"/>
      <c r="N3" s="68" t="s">
        <v>120</v>
      </c>
      <c r="O3" s="86">
        <v>9.7600000000000006E-2</v>
      </c>
      <c r="P3" s="87">
        <v>2.86E-2</v>
      </c>
      <c r="Q3" s="69">
        <f>O3+P3</f>
        <v>0.12620000000000001</v>
      </c>
      <c r="R3" s="91">
        <v>2.3300000000000001E-2</v>
      </c>
      <c r="S3" s="96"/>
      <c r="T3" s="18" t="s">
        <v>0</v>
      </c>
      <c r="U3" s="14">
        <f>U2*0.3</f>
        <v>10050</v>
      </c>
      <c r="V3" s="14">
        <f t="shared" ref="V3:W3" si="0">V2*0.3</f>
        <v>3090</v>
      </c>
      <c r="W3" s="14">
        <f t="shared" si="0"/>
        <v>1830</v>
      </c>
      <c r="Y3" s="37" t="s">
        <v>0</v>
      </c>
      <c r="Z3" s="14">
        <f>O4*0.3</f>
        <v>9420</v>
      </c>
      <c r="AA3" s="24">
        <f>P4*0.3</f>
        <v>2910</v>
      </c>
      <c r="AB3" s="25">
        <f>Z3+AA3</f>
        <v>12330</v>
      </c>
      <c r="AC3" s="19">
        <f>R4*0.3</f>
        <v>3480</v>
      </c>
    </row>
    <row r="4" spans="1:29" ht="38.1" customHeight="1">
      <c r="A4" s="302" t="s">
        <v>186</v>
      </c>
      <c r="B4" s="303"/>
      <c r="C4" s="303"/>
      <c r="D4" s="303"/>
      <c r="E4" s="303"/>
      <c r="F4" s="303"/>
      <c r="G4" s="303"/>
      <c r="H4" s="303"/>
      <c r="I4" s="303"/>
      <c r="J4" s="303"/>
      <c r="K4" s="303"/>
      <c r="L4" s="304"/>
      <c r="N4" s="70" t="s">
        <v>41</v>
      </c>
      <c r="O4" s="32">
        <v>31400</v>
      </c>
      <c r="P4" s="88">
        <v>9700</v>
      </c>
      <c r="Q4" s="71">
        <f>O4+P4</f>
        <v>41100</v>
      </c>
      <c r="R4" s="92">
        <v>11600</v>
      </c>
      <c r="S4" s="97"/>
      <c r="T4" s="18" t="s">
        <v>1</v>
      </c>
      <c r="U4" s="8">
        <f>U2*0.5</f>
        <v>16750</v>
      </c>
      <c r="V4" s="8">
        <f t="shared" ref="V4:W4" si="1">V2*0.5</f>
        <v>5150</v>
      </c>
      <c r="W4" s="8">
        <f t="shared" si="1"/>
        <v>3050</v>
      </c>
      <c r="Y4" s="18" t="s">
        <v>1</v>
      </c>
      <c r="Z4" s="8">
        <f>O4*0.5</f>
        <v>15700</v>
      </c>
      <c r="AA4" s="21">
        <f>P4*0.5</f>
        <v>4850</v>
      </c>
      <c r="AB4" s="22">
        <f>Z4+AA4</f>
        <v>20550</v>
      </c>
      <c r="AC4" s="20">
        <f>R4*0.5</f>
        <v>5800</v>
      </c>
    </row>
    <row r="5" spans="1:29" ht="38.1" customHeight="1" thickBot="1">
      <c r="A5" s="305"/>
      <c r="B5" s="306"/>
      <c r="C5" s="306"/>
      <c r="D5" s="306"/>
      <c r="E5" s="306"/>
      <c r="F5" s="306"/>
      <c r="G5" s="306"/>
      <c r="H5" s="306"/>
      <c r="I5" s="306"/>
      <c r="J5" s="306"/>
      <c r="K5" s="306"/>
      <c r="L5" s="307"/>
      <c r="N5" s="72" t="s">
        <v>10</v>
      </c>
      <c r="O5" s="89">
        <v>660000</v>
      </c>
      <c r="P5" s="90">
        <v>260000</v>
      </c>
      <c r="Q5" s="73">
        <f>O5+P5</f>
        <v>920000</v>
      </c>
      <c r="R5" s="74">
        <v>170000</v>
      </c>
      <c r="S5" s="98"/>
      <c r="T5" s="18" t="s">
        <v>2</v>
      </c>
      <c r="U5" s="8">
        <f>U2*0.8</f>
        <v>26800</v>
      </c>
      <c r="V5" s="8">
        <f t="shared" ref="V5:W5" si="2">V2*0.8</f>
        <v>8240</v>
      </c>
      <c r="W5" s="8">
        <f t="shared" si="2"/>
        <v>4880</v>
      </c>
      <c r="Y5" s="18" t="s">
        <v>2</v>
      </c>
      <c r="Z5" s="8">
        <f>O4*0.8</f>
        <v>25120</v>
      </c>
      <c r="AA5" s="21">
        <f>P4*0.8</f>
        <v>7760</v>
      </c>
      <c r="AB5" s="23">
        <f>Z5+AA5</f>
        <v>32880</v>
      </c>
      <c r="AC5" s="20">
        <f>R4*0.8</f>
        <v>9280</v>
      </c>
    </row>
    <row r="6" spans="1:29" ht="38.1" customHeight="1" thickTop="1" thickBot="1">
      <c r="A6" s="308"/>
      <c r="B6" s="309"/>
      <c r="C6" s="309"/>
      <c r="D6" s="309"/>
      <c r="E6" s="309"/>
      <c r="F6" s="309"/>
      <c r="G6" s="309"/>
      <c r="H6" s="309"/>
      <c r="I6" s="309"/>
      <c r="J6" s="309"/>
      <c r="K6" s="309"/>
      <c r="L6" s="310"/>
      <c r="N6" s="296" t="s">
        <v>51</v>
      </c>
      <c r="O6" s="298">
        <v>-430000</v>
      </c>
      <c r="P6" s="299"/>
      <c r="Q6" s="288" t="s">
        <v>89</v>
      </c>
      <c r="R6" s="289"/>
      <c r="T6" s="62" t="s">
        <v>93</v>
      </c>
      <c r="U6" s="45"/>
      <c r="V6" s="45"/>
      <c r="W6" s="45"/>
    </row>
    <row r="7" spans="1:29" ht="30" customHeight="1" thickBot="1">
      <c r="N7" s="297"/>
      <c r="O7" s="300">
        <v>-190000</v>
      </c>
      <c r="P7" s="301"/>
      <c r="Q7" s="290" t="s">
        <v>90</v>
      </c>
      <c r="R7" s="291"/>
      <c r="T7" s="63"/>
      <c r="U7" s="72" t="s">
        <v>3</v>
      </c>
      <c r="V7" s="125" t="s">
        <v>4</v>
      </c>
      <c r="W7" s="126" t="s">
        <v>45</v>
      </c>
    </row>
    <row r="8" spans="1:29" ht="30" customHeight="1" thickTop="1" thickBot="1">
      <c r="A8" s="148" t="s">
        <v>31</v>
      </c>
      <c r="B8" s="149"/>
      <c r="C8" s="149"/>
      <c r="D8" s="149"/>
      <c r="E8" s="149"/>
      <c r="F8" s="149"/>
      <c r="G8" s="149"/>
      <c r="H8" s="149"/>
      <c r="I8" s="149"/>
      <c r="J8" s="149"/>
      <c r="K8" s="149"/>
      <c r="L8" s="151"/>
      <c r="N8" s="297"/>
      <c r="O8" s="300">
        <v>-150000</v>
      </c>
      <c r="P8" s="301"/>
      <c r="Q8" s="290" t="s">
        <v>91</v>
      </c>
      <c r="R8" s="291"/>
      <c r="T8" s="68" t="s">
        <v>94</v>
      </c>
      <c r="U8" s="127">
        <f>O4/2</f>
        <v>15700</v>
      </c>
      <c r="V8" s="128">
        <f>P4/2</f>
        <v>4850</v>
      </c>
      <c r="W8" s="129">
        <f>U8+V8</f>
        <v>20550</v>
      </c>
    </row>
    <row r="9" spans="1:29" ht="30" customHeight="1" thickTop="1">
      <c r="A9" s="152"/>
      <c r="B9" s="283" t="s">
        <v>25</v>
      </c>
      <c r="C9" s="312" t="s">
        <v>26</v>
      </c>
      <c r="D9" s="312" t="s">
        <v>37</v>
      </c>
      <c r="E9" s="312" t="s">
        <v>27</v>
      </c>
      <c r="F9" s="312" t="s">
        <v>87</v>
      </c>
      <c r="G9" s="312" t="s">
        <v>86</v>
      </c>
      <c r="H9" s="314" t="s">
        <v>85</v>
      </c>
      <c r="I9" s="264" t="s">
        <v>24</v>
      </c>
      <c r="J9" s="292" t="s">
        <v>104</v>
      </c>
      <c r="K9" s="293"/>
      <c r="L9" s="153"/>
      <c r="N9" s="284"/>
      <c r="O9" s="300">
        <v>0</v>
      </c>
      <c r="P9" s="301"/>
      <c r="Q9" s="290" t="s">
        <v>92</v>
      </c>
      <c r="R9" s="291"/>
      <c r="T9" s="70" t="s">
        <v>0</v>
      </c>
      <c r="U9" s="130">
        <f t="shared" ref="U9:V11" si="3">Z3/2</f>
        <v>4710</v>
      </c>
      <c r="V9" s="131">
        <f t="shared" si="3"/>
        <v>1455</v>
      </c>
      <c r="W9" s="132">
        <f>U9+V9</f>
        <v>6165</v>
      </c>
    </row>
    <row r="10" spans="1:29" s="3" customFormat="1" ht="33.9" customHeight="1" thickBot="1">
      <c r="A10" s="166"/>
      <c r="B10" s="311"/>
      <c r="C10" s="313"/>
      <c r="D10" s="313"/>
      <c r="E10" s="313"/>
      <c r="F10" s="313"/>
      <c r="G10" s="313"/>
      <c r="H10" s="315"/>
      <c r="I10" s="265"/>
      <c r="J10" s="294"/>
      <c r="K10" s="295"/>
      <c r="L10" s="167"/>
      <c r="M10" s="4"/>
      <c r="O10" s="60"/>
      <c r="P10" s="60"/>
      <c r="Q10" s="61"/>
      <c r="R10" s="61"/>
      <c r="S10" s="2"/>
      <c r="T10" s="70" t="s">
        <v>1</v>
      </c>
      <c r="U10" s="130">
        <f t="shared" si="3"/>
        <v>7850</v>
      </c>
      <c r="V10" s="131">
        <f t="shared" si="3"/>
        <v>2425</v>
      </c>
      <c r="W10" s="132">
        <f>U10+V10</f>
        <v>10275</v>
      </c>
    </row>
    <row r="11" spans="1:29" ht="35.1" customHeight="1" thickTop="1" thickBot="1">
      <c r="A11" s="152"/>
      <c r="B11" s="17" t="s">
        <v>28</v>
      </c>
      <c r="C11" s="173" t="s">
        <v>202</v>
      </c>
      <c r="D11" s="119" t="s">
        <v>174</v>
      </c>
      <c r="E11" s="117">
        <v>3000000</v>
      </c>
      <c r="F11" s="117"/>
      <c r="G11" s="117"/>
      <c r="H11" s="118"/>
      <c r="I11" s="120">
        <f>IF(SUM(E11:H11)&lt;0,0,SUM(E11:H11))</f>
        <v>3000000</v>
      </c>
      <c r="J11" s="176">
        <f>T16</f>
        <v>0</v>
      </c>
      <c r="K11" s="177"/>
      <c r="L11" s="153"/>
      <c r="N11" s="3"/>
      <c r="O11" s="60"/>
      <c r="P11" s="60"/>
      <c r="Q11" s="61"/>
      <c r="R11" s="61"/>
      <c r="T11" s="70" t="s">
        <v>2</v>
      </c>
      <c r="U11" s="130">
        <f t="shared" si="3"/>
        <v>12560</v>
      </c>
      <c r="V11" s="131">
        <f t="shared" si="3"/>
        <v>3880</v>
      </c>
      <c r="W11" s="133">
        <f>U11+V11</f>
        <v>16440</v>
      </c>
    </row>
    <row r="12" spans="1:29" ht="35.1" customHeight="1">
      <c r="A12" s="152"/>
      <c r="B12" s="18" t="s">
        <v>19</v>
      </c>
      <c r="C12" s="173" t="s">
        <v>173</v>
      </c>
      <c r="D12" s="119" t="s">
        <v>174</v>
      </c>
      <c r="E12" s="117">
        <v>500000</v>
      </c>
      <c r="F12" s="117"/>
      <c r="G12" s="117"/>
      <c r="H12" s="118" t="s">
        <v>180</v>
      </c>
      <c r="I12" s="120">
        <f t="shared" ref="I12:I16" si="4">IF(SUM(E12:H12)&lt;0,0,SUM(E12:H12))</f>
        <v>500000</v>
      </c>
      <c r="J12" s="176">
        <f t="shared" ref="J12:J16" si="5">T17</f>
        <v>70000</v>
      </c>
      <c r="K12" s="177"/>
      <c r="L12" s="153"/>
      <c r="N12" s="3"/>
      <c r="O12" s="60"/>
      <c r="P12" s="60"/>
      <c r="Q12" s="61"/>
      <c r="R12" s="61"/>
      <c r="T12" s="77"/>
      <c r="U12" s="94"/>
      <c r="V12" s="94"/>
      <c r="W12" s="94"/>
      <c r="X12" s="3"/>
    </row>
    <row r="13" spans="1:29" ht="35.1" customHeight="1" thickBot="1">
      <c r="A13" s="152"/>
      <c r="B13" s="18" t="s">
        <v>20</v>
      </c>
      <c r="C13" s="173"/>
      <c r="D13" s="119"/>
      <c r="E13" s="117"/>
      <c r="F13" s="117"/>
      <c r="G13" s="117"/>
      <c r="H13" s="118"/>
      <c r="I13" s="120">
        <f t="shared" si="4"/>
        <v>0</v>
      </c>
      <c r="J13" s="176">
        <f t="shared" si="5"/>
        <v>0</v>
      </c>
      <c r="K13" s="177"/>
      <c r="L13" s="153"/>
      <c r="N13" s="2" t="s">
        <v>50</v>
      </c>
      <c r="Y13" s="45"/>
    </row>
    <row r="14" spans="1:29" ht="35.1" customHeight="1">
      <c r="A14" s="152"/>
      <c r="B14" s="18" t="s">
        <v>21</v>
      </c>
      <c r="C14" s="173"/>
      <c r="D14" s="119"/>
      <c r="E14" s="117"/>
      <c r="F14" s="117"/>
      <c r="G14" s="117"/>
      <c r="H14" s="118"/>
      <c r="I14" s="120">
        <f t="shared" si="4"/>
        <v>0</v>
      </c>
      <c r="J14" s="176">
        <f t="shared" si="5"/>
        <v>0</v>
      </c>
      <c r="K14" s="177"/>
      <c r="L14" s="153"/>
      <c r="O14" s="18" t="s">
        <v>43</v>
      </c>
      <c r="P14" s="56" t="s">
        <v>44</v>
      </c>
      <c r="Q14" s="18" t="s">
        <v>55</v>
      </c>
      <c r="R14" s="18" t="s">
        <v>56</v>
      </c>
      <c r="S14" s="18" t="s">
        <v>57</v>
      </c>
      <c r="T14" s="254" t="s">
        <v>77</v>
      </c>
      <c r="U14" s="255"/>
      <c r="V14" s="40" t="s">
        <v>68</v>
      </c>
      <c r="W14" s="201" t="s">
        <v>79</v>
      </c>
      <c r="X14" s="203"/>
    </row>
    <row r="15" spans="1:29" ht="35.1" customHeight="1" thickBot="1">
      <c r="A15" s="152"/>
      <c r="B15" s="18" t="s">
        <v>22</v>
      </c>
      <c r="C15" s="173"/>
      <c r="D15" s="119"/>
      <c r="E15" s="117"/>
      <c r="F15" s="117"/>
      <c r="G15" s="117"/>
      <c r="H15" s="118"/>
      <c r="I15" s="120">
        <f t="shared" si="4"/>
        <v>0</v>
      </c>
      <c r="J15" s="176">
        <f t="shared" si="5"/>
        <v>0</v>
      </c>
      <c r="K15" s="177"/>
      <c r="L15" s="153"/>
      <c r="N15" s="10"/>
      <c r="O15" s="38" t="s">
        <v>48</v>
      </c>
      <c r="P15" s="58" t="s">
        <v>49</v>
      </c>
      <c r="Q15" s="58" t="s">
        <v>24</v>
      </c>
      <c r="R15" s="38" t="s">
        <v>59</v>
      </c>
      <c r="S15" s="38" t="s">
        <v>51</v>
      </c>
      <c r="T15" s="256" t="s">
        <v>36</v>
      </c>
      <c r="U15" s="257"/>
      <c r="V15" s="42" t="s">
        <v>53</v>
      </c>
      <c r="W15" s="252" t="s">
        <v>54</v>
      </c>
      <c r="X15" s="253"/>
      <c r="AB15" s="7"/>
    </row>
    <row r="16" spans="1:29" ht="35.1" customHeight="1" thickTop="1" thickBot="1">
      <c r="A16" s="152"/>
      <c r="B16" s="10" t="s">
        <v>23</v>
      </c>
      <c r="C16" s="173"/>
      <c r="D16" s="119"/>
      <c r="E16" s="116"/>
      <c r="F16" s="116"/>
      <c r="G16" s="116"/>
      <c r="H16" s="118"/>
      <c r="I16" s="120">
        <f t="shared" si="4"/>
        <v>0</v>
      </c>
      <c r="J16" s="176">
        <f t="shared" si="5"/>
        <v>0</v>
      </c>
      <c r="K16" s="177"/>
      <c r="L16" s="153"/>
      <c r="N16" s="37" t="s">
        <v>12</v>
      </c>
      <c r="O16" s="31">
        <f>IF(C11="加入",1,0)</f>
        <v>0</v>
      </c>
      <c r="P16" s="46">
        <f>IF(OR(D11="",D11="75才以上"),0,1)</f>
        <v>1</v>
      </c>
      <c r="Q16" s="34">
        <f t="shared" ref="Q16:Q21" si="6">I11</f>
        <v>3000000</v>
      </c>
      <c r="R16" s="47">
        <f>IF(H11="〇",-E11*0.7,0)*IF(OR(D11="65～74才",D11="75才以上"),0,1)</f>
        <v>0</v>
      </c>
      <c r="S16" s="14">
        <f t="shared" ref="S16:S21" si="7">IF(I11&lt;=24000000,$O$6)+IF(AND(I11&gt;24000000,I11&lt;=24500000),$O$7)+IF(AND(I11&gt;24500000,I11&lt;=25000000),$O$8)+IF(I11&gt;25000000,$O$9)</f>
        <v>-430000</v>
      </c>
      <c r="T16" s="258">
        <f>IF(O16*P16*(Q16+R16+S16)&lt;0,0,O16*P16*(Q16+R16+S16))</f>
        <v>0</v>
      </c>
      <c r="U16" s="259"/>
      <c r="V16" s="41">
        <f>IF(D11="40～64才",1,0)</f>
        <v>1</v>
      </c>
      <c r="W16" s="250">
        <f>IF(O16*V16*(Q16+R16+S16)&lt;0,0,O16*V16*(Q16+R16+S16))</f>
        <v>0</v>
      </c>
      <c r="X16" s="251"/>
    </row>
    <row r="17" spans="1:27" ht="35.1" customHeight="1" thickTop="1" thickBot="1">
      <c r="A17" s="152"/>
      <c r="C17" s="194" t="s">
        <v>29</v>
      </c>
      <c r="D17" s="195"/>
      <c r="E17" s="195"/>
      <c r="F17" s="195"/>
      <c r="G17" s="195"/>
      <c r="H17" s="195"/>
      <c r="I17" s="196"/>
      <c r="J17" s="198">
        <f>SUM(J11:J16)</f>
        <v>70000</v>
      </c>
      <c r="K17" s="199"/>
      <c r="L17" s="153"/>
      <c r="N17" s="18" t="s">
        <v>13</v>
      </c>
      <c r="O17" s="31">
        <f t="shared" ref="O17:O21" si="8">IF(C12="加入",1,0)</f>
        <v>1</v>
      </c>
      <c r="P17" s="46">
        <f t="shared" ref="P17:P21" si="9">IF(OR(D12="",D12="75才以上"),0,1)</f>
        <v>1</v>
      </c>
      <c r="Q17" s="34">
        <f t="shared" si="6"/>
        <v>500000</v>
      </c>
      <c r="R17" s="47">
        <f t="shared" ref="R17:R21" si="10">IF(H12="〇",-E12*0.7,0)*IF(OR(D12="65～74才",D12="75才以上"),0,1)</f>
        <v>0</v>
      </c>
      <c r="S17" s="14">
        <f t="shared" si="7"/>
        <v>-430000</v>
      </c>
      <c r="T17" s="260">
        <f t="shared" ref="T17:T21" si="11">IF(O17*P17*(Q17+R17+S17)&lt;0,0,O17*P17*(Q17+R17+S17))</f>
        <v>70000</v>
      </c>
      <c r="U17" s="261"/>
      <c r="V17" s="41">
        <f t="shared" ref="V17:V21" si="12">IF(D12="40～64才",1,0)</f>
        <v>1</v>
      </c>
      <c r="W17" s="285">
        <f t="shared" ref="W17:W21" si="13">IF(O17*V17*(Q17+R17+S17)&lt;0,0,O17*V17*(Q17+R17+S17))</f>
        <v>70000</v>
      </c>
      <c r="X17" s="286"/>
    </row>
    <row r="18" spans="1:27" ht="30" customHeight="1" thickTop="1" thickBot="1">
      <c r="A18" s="168" t="s">
        <v>114</v>
      </c>
      <c r="C18" s="81"/>
      <c r="D18" s="81"/>
      <c r="E18" s="81"/>
      <c r="F18" s="81"/>
      <c r="G18" s="81"/>
      <c r="H18" s="81"/>
      <c r="I18" s="81"/>
      <c r="J18" s="82"/>
      <c r="K18" s="82"/>
      <c r="L18" s="153"/>
      <c r="N18" s="18" t="s">
        <v>15</v>
      </c>
      <c r="O18" s="31">
        <f t="shared" si="8"/>
        <v>0</v>
      </c>
      <c r="P18" s="46">
        <f t="shared" si="9"/>
        <v>0</v>
      </c>
      <c r="Q18" s="34">
        <f t="shared" si="6"/>
        <v>0</v>
      </c>
      <c r="R18" s="47">
        <f t="shared" si="10"/>
        <v>0</v>
      </c>
      <c r="S18" s="14">
        <f t="shared" si="7"/>
        <v>-430000</v>
      </c>
      <c r="T18" s="260">
        <f t="shared" si="11"/>
        <v>0</v>
      </c>
      <c r="U18" s="261"/>
      <c r="V18" s="41">
        <f t="shared" si="12"/>
        <v>0</v>
      </c>
      <c r="W18" s="285">
        <f t="shared" si="13"/>
        <v>0</v>
      </c>
      <c r="X18" s="286"/>
    </row>
    <row r="19" spans="1:27" ht="30" customHeight="1" thickTop="1" thickBot="1">
      <c r="A19" s="152"/>
      <c r="B19" s="12" t="s">
        <v>165</v>
      </c>
      <c r="G19" s="7"/>
      <c r="H19" s="7"/>
      <c r="I19" s="7"/>
      <c r="J19" s="7"/>
      <c r="K19" s="7"/>
      <c r="L19" s="153"/>
      <c r="N19" s="18" t="s">
        <v>14</v>
      </c>
      <c r="O19" s="31">
        <f t="shared" si="8"/>
        <v>0</v>
      </c>
      <c r="P19" s="46">
        <f t="shared" si="9"/>
        <v>0</v>
      </c>
      <c r="Q19" s="34">
        <f t="shared" si="6"/>
        <v>0</v>
      </c>
      <c r="R19" s="47">
        <f t="shared" si="10"/>
        <v>0</v>
      </c>
      <c r="S19" s="14">
        <f t="shared" si="7"/>
        <v>-430000</v>
      </c>
      <c r="T19" s="260">
        <f t="shared" si="11"/>
        <v>0</v>
      </c>
      <c r="U19" s="261"/>
      <c r="V19" s="41">
        <f t="shared" si="12"/>
        <v>0</v>
      </c>
      <c r="W19" s="285">
        <f t="shared" si="13"/>
        <v>0</v>
      </c>
      <c r="X19" s="286"/>
    </row>
    <row r="20" spans="1:27" ht="30" customHeight="1" thickTop="1" thickBot="1">
      <c r="A20" s="152"/>
      <c r="B20" s="12" t="s">
        <v>158</v>
      </c>
      <c r="G20" s="7"/>
      <c r="H20" s="7"/>
      <c r="I20" s="7"/>
      <c r="J20" s="7"/>
      <c r="K20" s="7"/>
      <c r="L20" s="153"/>
      <c r="N20" s="18" t="s">
        <v>17</v>
      </c>
      <c r="O20" s="31">
        <f t="shared" si="8"/>
        <v>0</v>
      </c>
      <c r="P20" s="46">
        <f t="shared" si="9"/>
        <v>0</v>
      </c>
      <c r="Q20" s="34">
        <f t="shared" si="6"/>
        <v>0</v>
      </c>
      <c r="R20" s="47">
        <f t="shared" si="10"/>
        <v>0</v>
      </c>
      <c r="S20" s="14">
        <f t="shared" si="7"/>
        <v>-430000</v>
      </c>
      <c r="T20" s="260">
        <f t="shared" si="11"/>
        <v>0</v>
      </c>
      <c r="U20" s="261"/>
      <c r="V20" s="41">
        <f t="shared" si="12"/>
        <v>0</v>
      </c>
      <c r="W20" s="285">
        <f t="shared" si="13"/>
        <v>0</v>
      </c>
      <c r="X20" s="286"/>
    </row>
    <row r="21" spans="1:27" ht="30" customHeight="1" thickTop="1" thickBot="1">
      <c r="A21" s="152"/>
      <c r="B21" s="169" t="s">
        <v>121</v>
      </c>
      <c r="L21" s="153"/>
      <c r="N21" s="10" t="s">
        <v>16</v>
      </c>
      <c r="O21" s="31">
        <f t="shared" si="8"/>
        <v>0</v>
      </c>
      <c r="P21" s="46">
        <f t="shared" si="9"/>
        <v>0</v>
      </c>
      <c r="Q21" s="34">
        <f t="shared" si="6"/>
        <v>0</v>
      </c>
      <c r="R21" s="47">
        <f t="shared" si="10"/>
        <v>0</v>
      </c>
      <c r="S21" s="14">
        <f t="shared" si="7"/>
        <v>-430000</v>
      </c>
      <c r="T21" s="180">
        <f t="shared" si="11"/>
        <v>0</v>
      </c>
      <c r="U21" s="181"/>
      <c r="V21" s="41">
        <f t="shared" si="12"/>
        <v>0</v>
      </c>
      <c r="W21" s="273">
        <f t="shared" si="13"/>
        <v>0</v>
      </c>
      <c r="X21" s="273"/>
    </row>
    <row r="22" spans="1:27" ht="30" customHeight="1" thickTop="1" thickBot="1">
      <c r="A22" s="152"/>
      <c r="B22" s="12" t="s">
        <v>88</v>
      </c>
      <c r="L22" s="153"/>
      <c r="N22" s="37" t="s">
        <v>18</v>
      </c>
      <c r="O22" s="35"/>
      <c r="P22" s="39"/>
      <c r="Q22" s="44"/>
      <c r="R22" s="55"/>
      <c r="S22" s="36"/>
      <c r="T22" s="268">
        <f>SUM(T16:T21)</f>
        <v>70000</v>
      </c>
      <c r="U22" s="269"/>
      <c r="V22" s="43"/>
      <c r="W22" s="274">
        <f>SUM(W16:W21)</f>
        <v>70000</v>
      </c>
      <c r="X22" s="274"/>
    </row>
    <row r="23" spans="1:27" ht="30" customHeight="1">
      <c r="A23" s="152"/>
      <c r="B23" s="12" t="s">
        <v>34</v>
      </c>
      <c r="L23" s="153"/>
    </row>
    <row r="24" spans="1:27" ht="30" customHeight="1" thickBot="1">
      <c r="A24" s="152"/>
      <c r="B24" s="12" t="s">
        <v>33</v>
      </c>
      <c r="L24" s="153"/>
      <c r="N24" s="2" t="s">
        <v>60</v>
      </c>
      <c r="T24" s="15"/>
      <c r="U24" s="15"/>
      <c r="V24" s="16"/>
    </row>
    <row r="25" spans="1:27" ht="30" customHeight="1">
      <c r="A25" s="152"/>
      <c r="B25" s="146" t="s">
        <v>164</v>
      </c>
      <c r="C25" s="147"/>
      <c r="D25" s="147"/>
      <c r="E25" s="147"/>
      <c r="F25" s="147"/>
      <c r="G25" s="147"/>
      <c r="H25" s="147"/>
      <c r="I25" s="147"/>
      <c r="J25" s="147"/>
      <c r="K25" s="147"/>
      <c r="L25" s="170"/>
      <c r="M25" s="9"/>
      <c r="O25" s="18" t="s">
        <v>69</v>
      </c>
      <c r="P25" s="18" t="s">
        <v>70</v>
      </c>
      <c r="Q25" s="18" t="s">
        <v>55</v>
      </c>
      <c r="R25" s="18" t="s">
        <v>72</v>
      </c>
      <c r="S25" s="56" t="s">
        <v>74</v>
      </c>
      <c r="T25" s="254" t="s">
        <v>80</v>
      </c>
      <c r="U25" s="255"/>
      <c r="V25" s="57" t="s">
        <v>78</v>
      </c>
      <c r="W25" s="18" t="s">
        <v>97</v>
      </c>
      <c r="X25" s="18" t="s">
        <v>96</v>
      </c>
      <c r="Y25" s="18" t="s">
        <v>99</v>
      </c>
      <c r="Z25" s="18" t="s">
        <v>105</v>
      </c>
      <c r="AA25" s="45" t="s">
        <v>81</v>
      </c>
    </row>
    <row r="26" spans="1:27" ht="30" customHeight="1" thickBot="1">
      <c r="A26" s="152"/>
      <c r="B26" s="171" t="s">
        <v>117</v>
      </c>
      <c r="C26" s="62"/>
      <c r="D26" s="62"/>
      <c r="E26" s="62"/>
      <c r="F26" s="62"/>
      <c r="G26" s="62"/>
      <c r="H26" s="62"/>
      <c r="I26" s="62"/>
      <c r="J26" s="62"/>
      <c r="K26" s="62"/>
      <c r="L26" s="153"/>
      <c r="M26" s="9"/>
      <c r="N26" s="26"/>
      <c r="O26" s="38" t="s">
        <v>76</v>
      </c>
      <c r="P26" s="38" t="s">
        <v>49</v>
      </c>
      <c r="Q26" s="38" t="s">
        <v>67</v>
      </c>
      <c r="R26" s="38" t="s">
        <v>58</v>
      </c>
      <c r="S26" s="58" t="s">
        <v>71</v>
      </c>
      <c r="T26" s="256" t="s">
        <v>35</v>
      </c>
      <c r="U26" s="257"/>
      <c r="V26" s="59" t="s">
        <v>73</v>
      </c>
      <c r="W26" s="134" t="s">
        <v>95</v>
      </c>
      <c r="X26" s="135" t="s">
        <v>98</v>
      </c>
      <c r="Y26" s="38" t="s">
        <v>100</v>
      </c>
      <c r="Z26" s="38" t="s">
        <v>75</v>
      </c>
    </row>
    <row r="27" spans="1:27" ht="30" customHeight="1" thickTop="1">
      <c r="A27" s="152"/>
      <c r="B27" s="171" t="s">
        <v>122</v>
      </c>
      <c r="C27" s="62"/>
      <c r="D27" s="62"/>
      <c r="E27" s="62"/>
      <c r="F27" s="62"/>
      <c r="G27" s="62"/>
      <c r="H27" s="62"/>
      <c r="I27" s="62"/>
      <c r="J27" s="62"/>
      <c r="K27" s="62"/>
      <c r="L27" s="153"/>
      <c r="M27" s="9"/>
      <c r="N27" s="37" t="s">
        <v>42</v>
      </c>
      <c r="O27" s="49">
        <f>IF(C11="",0,1)</f>
        <v>1</v>
      </c>
      <c r="P27" s="49">
        <f>IF(D11="",0,1)</f>
        <v>1</v>
      </c>
      <c r="Q27" s="14">
        <f t="shared" ref="Q27:Q32" si="14">I11</f>
        <v>3000000</v>
      </c>
      <c r="R27" s="47">
        <f>IF(H11="〇",-E11*0.7,0)*IF(OR(D11="65～74才",D11="75才以上"),0,1)*IF(C11="擬主",0,1)</f>
        <v>0</v>
      </c>
      <c r="S27" s="50">
        <f>IF(F11&lt;150000,-F11,-150000)*IF(OR(D11="65～74才",D11="75才以上"),1,0)</f>
        <v>0</v>
      </c>
      <c r="T27" s="275">
        <f>IF(O27*P27*(Q27+R27+S27)&lt;0,0,O27*P27*(Q27+R27+S27))</f>
        <v>3000000</v>
      </c>
      <c r="U27" s="276"/>
      <c r="V27" s="51">
        <f>IF(OR(E11&gt;0,IF(OR(D11="65才～74才",D11="75才以上"),F11-150000,F11)&gt;0),1,0)*IF(C11="",0,1)</f>
        <v>1</v>
      </c>
      <c r="W27" s="31">
        <f>(O16*P16)-X27</f>
        <v>0</v>
      </c>
      <c r="X27" s="31">
        <f>IF(D11="0～6才",1,0)</f>
        <v>0</v>
      </c>
      <c r="Y27" s="31">
        <f>W27+X27</f>
        <v>0</v>
      </c>
      <c r="Z27" s="31">
        <f>O16*V16</f>
        <v>0</v>
      </c>
    </row>
    <row r="28" spans="1:27" ht="30" customHeight="1">
      <c r="A28" s="152"/>
      <c r="B28" s="171" t="s">
        <v>32</v>
      </c>
      <c r="C28" s="62"/>
      <c r="D28" s="62"/>
      <c r="E28" s="62"/>
      <c r="F28" s="62"/>
      <c r="G28" s="62"/>
      <c r="H28" s="62"/>
      <c r="I28" s="62"/>
      <c r="J28" s="62"/>
      <c r="K28" s="62"/>
      <c r="L28" s="153"/>
      <c r="M28" s="9"/>
      <c r="N28" s="18" t="s">
        <v>19</v>
      </c>
      <c r="O28" s="49">
        <f t="shared" ref="O28:P32" si="15">IF(C12="",0,1)</f>
        <v>1</v>
      </c>
      <c r="P28" s="49">
        <f t="shared" si="15"/>
        <v>1</v>
      </c>
      <c r="Q28" s="8">
        <f t="shared" si="14"/>
        <v>500000</v>
      </c>
      <c r="R28" s="47">
        <f t="shared" ref="R28:R32" si="16">IF(H12="〇",-E12*0.7,0)*IF(OR(D12="65～74才",D12="75才以上"),0,1)*IF(C12="擬主",0,1)</f>
        <v>0</v>
      </c>
      <c r="S28" s="50">
        <f t="shared" ref="S28:S32" si="17">IF(F12&lt;150000,-F12,-150000)*IF(OR(D12="65～74才",D12="75才以上"),1,0)</f>
        <v>0</v>
      </c>
      <c r="T28" s="262">
        <f t="shared" ref="T28:T32" si="18">IF(O28*P28*(Q28+R28+S28)&lt;0,0,O28*P28*(Q28+R28+S28))</f>
        <v>500000</v>
      </c>
      <c r="U28" s="263"/>
      <c r="V28" s="51">
        <f t="shared" ref="V28:V32" si="19">IF(OR(E12&gt;0,IF(OR(D12="65才～74才",D12="75才以上"),F12-150000,F12)&gt;0),1,0)*IF(C12="",0,1)</f>
        <v>1</v>
      </c>
      <c r="W28" s="31">
        <f t="shared" ref="W28:W32" si="20">(O17*P17)-X28</f>
        <v>1</v>
      </c>
      <c r="X28" s="31">
        <f t="shared" ref="X28:X32" si="21">IF(D12="0～6才",1,0)</f>
        <v>0</v>
      </c>
      <c r="Y28" s="31">
        <f t="shared" ref="Y28:Y32" si="22">W28+X28</f>
        <v>1</v>
      </c>
      <c r="Z28" s="31">
        <f t="shared" ref="Z28:Z32" si="23">O17*V17</f>
        <v>1</v>
      </c>
    </row>
    <row r="29" spans="1:27" ht="30" customHeight="1">
      <c r="A29" s="152"/>
      <c r="B29" s="171" t="s">
        <v>115</v>
      </c>
      <c r="C29" s="62"/>
      <c r="D29" s="62"/>
      <c r="E29" s="62"/>
      <c r="F29" s="62"/>
      <c r="G29" s="62"/>
      <c r="H29" s="62"/>
      <c r="I29" s="62"/>
      <c r="J29" s="62"/>
      <c r="K29" s="62"/>
      <c r="L29" s="153"/>
      <c r="M29" s="9"/>
      <c r="N29" s="18" t="s">
        <v>20</v>
      </c>
      <c r="O29" s="49">
        <f t="shared" si="15"/>
        <v>0</v>
      </c>
      <c r="P29" s="49">
        <f t="shared" si="15"/>
        <v>0</v>
      </c>
      <c r="Q29" s="8">
        <f t="shared" si="14"/>
        <v>0</v>
      </c>
      <c r="R29" s="47">
        <f t="shared" si="16"/>
        <v>0</v>
      </c>
      <c r="S29" s="50">
        <f t="shared" si="17"/>
        <v>0</v>
      </c>
      <c r="T29" s="262">
        <f t="shared" si="18"/>
        <v>0</v>
      </c>
      <c r="U29" s="263"/>
      <c r="V29" s="51">
        <f t="shared" si="19"/>
        <v>0</v>
      </c>
      <c r="W29" s="31">
        <f t="shared" si="20"/>
        <v>0</v>
      </c>
      <c r="X29" s="31">
        <f t="shared" si="21"/>
        <v>0</v>
      </c>
      <c r="Y29" s="31">
        <f t="shared" si="22"/>
        <v>0</v>
      </c>
      <c r="Z29" s="31">
        <f t="shared" si="23"/>
        <v>0</v>
      </c>
    </row>
    <row r="30" spans="1:27" ht="30" customHeight="1">
      <c r="A30" s="152"/>
      <c r="B30" s="171" t="s">
        <v>116</v>
      </c>
      <c r="C30" s="62"/>
      <c r="D30" s="62"/>
      <c r="E30" s="62"/>
      <c r="F30" s="62"/>
      <c r="G30" s="62"/>
      <c r="H30" s="62"/>
      <c r="I30" s="62"/>
      <c r="J30" s="62"/>
      <c r="K30" s="62"/>
      <c r="L30" s="153"/>
      <c r="M30" s="13"/>
      <c r="N30" s="18" t="s">
        <v>21</v>
      </c>
      <c r="O30" s="49">
        <f t="shared" si="15"/>
        <v>0</v>
      </c>
      <c r="P30" s="49">
        <f t="shared" si="15"/>
        <v>0</v>
      </c>
      <c r="Q30" s="8">
        <f t="shared" si="14"/>
        <v>0</v>
      </c>
      <c r="R30" s="47">
        <f t="shared" si="16"/>
        <v>0</v>
      </c>
      <c r="S30" s="50">
        <f t="shared" si="17"/>
        <v>0</v>
      </c>
      <c r="T30" s="262">
        <f t="shared" si="18"/>
        <v>0</v>
      </c>
      <c r="U30" s="263"/>
      <c r="V30" s="51">
        <f t="shared" si="19"/>
        <v>0</v>
      </c>
      <c r="W30" s="31">
        <f t="shared" si="20"/>
        <v>0</v>
      </c>
      <c r="X30" s="31">
        <f t="shared" si="21"/>
        <v>0</v>
      </c>
      <c r="Y30" s="31">
        <f t="shared" si="22"/>
        <v>0</v>
      </c>
      <c r="Z30" s="31">
        <f t="shared" si="23"/>
        <v>0</v>
      </c>
    </row>
    <row r="31" spans="1:27" ht="35.1" customHeight="1" thickBot="1">
      <c r="A31" s="157"/>
      <c r="B31" s="172"/>
      <c r="C31" s="172"/>
      <c r="D31" s="172"/>
      <c r="E31" s="172"/>
      <c r="F31" s="172"/>
      <c r="G31" s="172"/>
      <c r="H31" s="172"/>
      <c r="I31" s="172"/>
      <c r="J31" s="172"/>
      <c r="K31" s="172"/>
      <c r="L31" s="159"/>
      <c r="N31" s="18" t="s">
        <v>22</v>
      </c>
      <c r="O31" s="49">
        <f t="shared" si="15"/>
        <v>0</v>
      </c>
      <c r="P31" s="49">
        <f t="shared" si="15"/>
        <v>0</v>
      </c>
      <c r="Q31" s="8">
        <f t="shared" si="14"/>
        <v>0</v>
      </c>
      <c r="R31" s="47">
        <f t="shared" si="16"/>
        <v>0</v>
      </c>
      <c r="S31" s="50">
        <f t="shared" si="17"/>
        <v>0</v>
      </c>
      <c r="T31" s="262">
        <f t="shared" si="18"/>
        <v>0</v>
      </c>
      <c r="U31" s="263"/>
      <c r="V31" s="51">
        <f t="shared" si="19"/>
        <v>0</v>
      </c>
      <c r="W31" s="31">
        <f t="shared" si="20"/>
        <v>0</v>
      </c>
      <c r="X31" s="31">
        <f t="shared" si="21"/>
        <v>0</v>
      </c>
      <c r="Y31" s="31">
        <f t="shared" si="22"/>
        <v>0</v>
      </c>
      <c r="Z31" s="31">
        <f t="shared" si="23"/>
        <v>0</v>
      </c>
    </row>
    <row r="32" spans="1:27" ht="39.9" customHeight="1" thickBot="1">
      <c r="A32" s="148" t="s">
        <v>159</v>
      </c>
      <c r="B32" s="160"/>
      <c r="C32" s="160"/>
      <c r="D32" s="160"/>
      <c r="E32" s="160"/>
      <c r="F32" s="160"/>
      <c r="G32" s="161"/>
      <c r="H32" s="161"/>
      <c r="I32" s="149"/>
      <c r="J32" s="149"/>
      <c r="K32" s="149"/>
      <c r="L32" s="151"/>
      <c r="N32" s="10" t="s">
        <v>23</v>
      </c>
      <c r="O32" s="49">
        <f t="shared" si="15"/>
        <v>0</v>
      </c>
      <c r="P32" s="49">
        <f t="shared" si="15"/>
        <v>0</v>
      </c>
      <c r="Q32" s="11">
        <f t="shared" si="14"/>
        <v>0</v>
      </c>
      <c r="R32" s="47">
        <f t="shared" si="16"/>
        <v>0</v>
      </c>
      <c r="S32" s="50">
        <f t="shared" si="17"/>
        <v>0</v>
      </c>
      <c r="T32" s="178">
        <f t="shared" si="18"/>
        <v>0</v>
      </c>
      <c r="U32" s="179"/>
      <c r="V32" s="51">
        <f t="shared" si="19"/>
        <v>0</v>
      </c>
      <c r="W32" s="31">
        <f t="shared" si="20"/>
        <v>0</v>
      </c>
      <c r="X32" s="31">
        <f t="shared" si="21"/>
        <v>0</v>
      </c>
      <c r="Y32" s="26">
        <f t="shared" si="22"/>
        <v>0</v>
      </c>
      <c r="Z32" s="31">
        <f t="shared" si="23"/>
        <v>0</v>
      </c>
    </row>
    <row r="33" spans="1:27" ht="35.1" customHeight="1" thickTop="1" thickBot="1">
      <c r="A33" s="152"/>
      <c r="B33" s="201"/>
      <c r="C33" s="202"/>
      <c r="D33" s="203"/>
      <c r="E33" s="287" t="s">
        <v>192</v>
      </c>
      <c r="F33" s="287"/>
      <c r="G33" s="287" t="s">
        <v>193</v>
      </c>
      <c r="H33" s="287"/>
      <c r="I33" s="287" t="s">
        <v>194</v>
      </c>
      <c r="J33" s="287"/>
      <c r="L33" s="153"/>
      <c r="N33" s="37" t="s">
        <v>18</v>
      </c>
      <c r="O33" s="48"/>
      <c r="P33" s="48"/>
      <c r="Q33" s="35"/>
      <c r="R33" s="35"/>
      <c r="S33" s="39"/>
      <c r="T33" s="281">
        <f>SUM(T27:T32)</f>
        <v>3500000</v>
      </c>
      <c r="U33" s="282"/>
      <c r="V33" s="53">
        <f>SUM(V27:V32)</f>
        <v>2</v>
      </c>
      <c r="W33" s="54">
        <f>SUM(W27:W32)</f>
        <v>1</v>
      </c>
      <c r="X33" s="54">
        <f t="shared" ref="X33:Y33" si="24">SUM(X27:X32)</f>
        <v>0</v>
      </c>
      <c r="Y33" s="54">
        <f t="shared" si="24"/>
        <v>1</v>
      </c>
      <c r="Z33" s="54">
        <f>SUM(Z27:Z32)</f>
        <v>1</v>
      </c>
    </row>
    <row r="34" spans="1:27" ht="35.1" customHeight="1">
      <c r="A34" s="152"/>
      <c r="B34" s="287" t="s">
        <v>30</v>
      </c>
      <c r="C34" s="287"/>
      <c r="D34" s="287"/>
      <c r="E34" s="192">
        <f>ROUNDDOWN(T22*O3*IF(OR(C11="",D11=""),0,1),0)</f>
        <v>6832</v>
      </c>
      <c r="F34" s="192"/>
      <c r="G34" s="192">
        <f>ROUNDDOWN(T22*P3*IF(OR(C11="",D11=""),0,1),0)</f>
        <v>2002</v>
      </c>
      <c r="H34" s="192"/>
      <c r="I34" s="192">
        <f>ROUNDDOWN(W22*R3*IF(OR(C11="",D11=""),0,1),0)</f>
        <v>1631</v>
      </c>
      <c r="J34" s="192"/>
      <c r="K34" s="16"/>
      <c r="L34" s="153"/>
      <c r="N34" s="3"/>
      <c r="O34" s="3"/>
      <c r="P34" s="3"/>
      <c r="T34" s="83"/>
      <c r="U34" s="83"/>
      <c r="V34" s="84"/>
      <c r="W34" s="85"/>
      <c r="X34" s="85"/>
      <c r="Y34" s="85"/>
      <c r="Z34" s="84"/>
    </row>
    <row r="35" spans="1:27" ht="30" customHeight="1">
      <c r="A35" s="152"/>
      <c r="B35" s="197" t="s">
        <v>6</v>
      </c>
      <c r="C35" s="197"/>
      <c r="D35" s="197"/>
      <c r="E35" s="192">
        <f>IF(V39="○",Z3,IF(W39="○",Z4,IF(X39="○",Z5,O4)))*W33*IF(OR(C11="",D11=""),0,1)+IF(V39="○",U9,IF(W39="○",U10,IF(X39="○",U11,U8)))*X33*IF(OR(C11="",D11=""),0,1)</f>
        <v>31400</v>
      </c>
      <c r="F35" s="192"/>
      <c r="G35" s="192">
        <f>IF(V39="○",AA3,IF(W39="○",AA4,IF(X39="○",AA5,P4)))*W33*IF(OR(C11="",D11=""),0,1)+IF(V39="○",V9,IF(W39="○",V10,IF(X39="○",V11,V8)))*X33*IF(OR(C11="",D11=""),0,1)</f>
        <v>9700</v>
      </c>
      <c r="H35" s="192"/>
      <c r="I35" s="192">
        <f>IF(V39="○",AC3,IF(W39="○",AC4,IF(X39="○",AC5,R4)))*Z33*IF(OR(C12="",D12=""),0,1)</f>
        <v>11600</v>
      </c>
      <c r="J35" s="192"/>
      <c r="K35" s="115" t="str">
        <f>IF(COUNTIF(H12:H16,"〇")&gt;0,"※給与所得30/100入力有","")</f>
        <v/>
      </c>
      <c r="L35" s="153"/>
    </row>
    <row r="36" spans="1:27" ht="30" customHeight="1">
      <c r="A36" s="152"/>
      <c r="B36" s="197" t="s">
        <v>123</v>
      </c>
      <c r="C36" s="197"/>
      <c r="D36" s="197"/>
      <c r="E36" s="190">
        <f>IF(V39="○",U3,IF(W39="○",U4,IF(X39="○",U5,U2)))</f>
        <v>33500</v>
      </c>
      <c r="F36" s="191"/>
      <c r="G36" s="190">
        <f>IF(V39="○",V3,IF(W39="○",V4,IF(X39="○",V5,V2)))</f>
        <v>10300</v>
      </c>
      <c r="H36" s="191"/>
      <c r="I36" s="190">
        <f>IF(Z39="○",W3,IF(W39="○",W4,IF(X39="○",W5,W2))*Z33*IF(OR(C12="",D12=""),0,1))</f>
        <v>6100</v>
      </c>
      <c r="J36" s="191"/>
      <c r="K36" s="93" t="str">
        <f>IF(COUNTIFS(C12,"&lt;&gt;",D12,"&lt;&gt;")=1,IF(COUNTIFS(C12:C16,"加入",D12:D16,"0～6才")+COUNTIFS(C12:C16,"加入",D12:D16,"7～18才")+COUNTIFS(C12:C16,"加入",D12:D16,"19～39才")+COUNTIFS(C12:C16,"加入",D12:D16,"40～64才")+COUNTIFS(C12:C16,"加入",D12:D16,"65～74才")&gt;0,IF(S40&lt;=O38,"※7割減額",IF(S40&lt;=(P38+(P39*Y33)),"※5割減額",IF(S40&lt;=Q38+(Q39*Y33),"※2割減額",""))),""),"")</f>
        <v/>
      </c>
      <c r="L36" s="153"/>
      <c r="N36" s="62" t="s">
        <v>166</v>
      </c>
      <c r="O36" s="62"/>
    </row>
    <row r="37" spans="1:27" ht="39.9" customHeight="1" thickBot="1">
      <c r="A37" s="152"/>
      <c r="B37" s="249" t="s">
        <v>11</v>
      </c>
      <c r="C37" s="249"/>
      <c r="D37" s="249"/>
      <c r="E37" s="193">
        <f>ROUNDDOWN(IF((E34+E35+E36)&gt;O5,O5,E34+E35+E36),-2)</f>
        <v>71700</v>
      </c>
      <c r="F37" s="193"/>
      <c r="G37" s="193">
        <f>ROUNDDOWN(IF((G34+G35+G36)&gt;P5,P5,G34+G35+G36),-2)</f>
        <v>22000</v>
      </c>
      <c r="H37" s="193"/>
      <c r="I37" s="193">
        <f>ROUNDDOWN(IF((I34+I35+I36)&gt;R5,R5,I34+I35+I36),-2)</f>
        <v>19300</v>
      </c>
      <c r="J37" s="193"/>
      <c r="L37" s="153"/>
      <c r="N37" s="5"/>
      <c r="O37" s="18" t="s">
        <v>0</v>
      </c>
      <c r="P37" s="18" t="s">
        <v>1</v>
      </c>
      <c r="Q37" s="18" t="s">
        <v>2</v>
      </c>
    </row>
    <row r="38" spans="1:27" ht="30" customHeight="1">
      <c r="A38" s="152"/>
      <c r="B38" s="248" t="s">
        <v>160</v>
      </c>
      <c r="C38" s="248"/>
      <c r="D38" s="248"/>
      <c r="E38" s="247">
        <v>660000</v>
      </c>
      <c r="F38" s="247"/>
      <c r="G38" s="247">
        <v>260000</v>
      </c>
      <c r="H38" s="247"/>
      <c r="I38" s="247">
        <v>170000</v>
      </c>
      <c r="J38" s="247"/>
      <c r="L38" s="153"/>
      <c r="N38" s="5" t="s">
        <v>7</v>
      </c>
      <c r="O38" s="32">
        <v>430000</v>
      </c>
      <c r="P38" s="32">
        <v>430000</v>
      </c>
      <c r="Q38" s="32">
        <v>430000</v>
      </c>
      <c r="S38" s="277" t="s">
        <v>106</v>
      </c>
      <c r="T38" s="278"/>
      <c r="U38" s="272" t="s">
        <v>84</v>
      </c>
      <c r="V38" s="18" t="s">
        <v>0</v>
      </c>
      <c r="W38" s="18" t="s">
        <v>1</v>
      </c>
      <c r="X38" s="18" t="s">
        <v>2</v>
      </c>
    </row>
    <row r="39" spans="1:27" ht="30" customHeight="1" thickBot="1">
      <c r="A39" s="152"/>
      <c r="L39" s="153"/>
      <c r="N39" s="6" t="s">
        <v>8</v>
      </c>
      <c r="O39" s="33" t="s">
        <v>9</v>
      </c>
      <c r="P39" s="32">
        <v>305000</v>
      </c>
      <c r="Q39" s="32">
        <v>560000</v>
      </c>
      <c r="S39" s="279" t="s">
        <v>82</v>
      </c>
      <c r="T39" s="280"/>
      <c r="U39" s="272"/>
      <c r="V39" s="18" t="str">
        <f>IF(S40&lt;=O38,"○","✖")</f>
        <v>✖</v>
      </c>
      <c r="W39" s="18" t="str">
        <f>IF(AND(O38&lt;S40,S40&lt;=(P38+(P39*Y33))),"○","✖")</f>
        <v>✖</v>
      </c>
      <c r="X39" s="18" t="str">
        <f>IF(AND(P38+(P39*Y33)&lt;S40,S40&lt;=Q38+(Q39*Y33)),"○","✖")</f>
        <v>✖</v>
      </c>
    </row>
    <row r="40" spans="1:27" ht="30" customHeight="1" thickBot="1">
      <c r="A40" s="152"/>
      <c r="B40" s="244" t="s">
        <v>132</v>
      </c>
      <c r="C40" s="245"/>
      <c r="D40" s="245"/>
      <c r="E40" s="245"/>
      <c r="F40" s="246"/>
      <c r="G40" s="316">
        <f>IF(E35=0,0,SUM(E37:J37))</f>
        <v>113000</v>
      </c>
      <c r="H40" s="317"/>
      <c r="I40" s="317"/>
      <c r="J40" s="318"/>
      <c r="L40" s="153"/>
      <c r="N40" s="283" t="s">
        <v>83</v>
      </c>
      <c r="O40" s="201" t="s">
        <v>47</v>
      </c>
      <c r="P40" s="202"/>
      <c r="Q40" s="203"/>
      <c r="S40" s="270">
        <f>T33-O41</f>
        <v>3400000</v>
      </c>
      <c r="T40" s="271"/>
      <c r="Z40" s="52"/>
      <c r="AA40" s="52"/>
    </row>
    <row r="41" spans="1:27" ht="30" customHeight="1">
      <c r="A41" s="152"/>
      <c r="B41" s="144" t="s">
        <v>156</v>
      </c>
      <c r="L41" s="153"/>
      <c r="N41" s="284"/>
      <c r="O41" s="184">
        <f>IF(V33&lt;2,0,(V33-1)*100000)</f>
        <v>100000</v>
      </c>
      <c r="P41" s="185"/>
      <c r="Q41" s="186"/>
      <c r="Y41" s="52"/>
      <c r="Z41" s="52"/>
      <c r="AA41" s="52"/>
    </row>
    <row r="42" spans="1:27" ht="30" customHeight="1">
      <c r="A42" s="152"/>
      <c r="B42" s="144" t="s">
        <v>197</v>
      </c>
      <c r="H42" s="1"/>
      <c r="I42" s="1"/>
      <c r="J42" s="1"/>
      <c r="L42" s="153"/>
      <c r="Y42" s="52"/>
      <c r="Z42" s="52"/>
      <c r="AA42" s="52"/>
    </row>
    <row r="43" spans="1:27" ht="39.9" customHeight="1">
      <c r="A43" s="152"/>
      <c r="B43" s="144" t="s">
        <v>154</v>
      </c>
      <c r="C43" s="1"/>
      <c r="D43" s="1"/>
      <c r="E43" s="1"/>
      <c r="F43" s="1"/>
      <c r="L43" s="153"/>
      <c r="N43" s="62" t="s">
        <v>102</v>
      </c>
      <c r="O43" s="45"/>
      <c r="P43" s="45"/>
      <c r="Q43" s="45"/>
      <c r="R43" s="45"/>
      <c r="S43" s="45"/>
      <c r="T43" s="45"/>
      <c r="U43" s="45"/>
      <c r="V43" s="45"/>
      <c r="W43" s="45"/>
      <c r="X43" s="45"/>
      <c r="Y43" s="76"/>
      <c r="Z43" s="76"/>
      <c r="AA43" s="76"/>
    </row>
    <row r="44" spans="1:27" ht="30" customHeight="1" thickBot="1">
      <c r="A44" s="152"/>
      <c r="B44" s="144" t="s">
        <v>155</v>
      </c>
      <c r="C44" s="1"/>
      <c r="D44" s="1"/>
      <c r="E44" s="1"/>
      <c r="F44" s="1"/>
      <c r="L44" s="153"/>
      <c r="N44" s="62" t="s">
        <v>110</v>
      </c>
      <c r="O44" s="45"/>
      <c r="P44" s="62" t="s">
        <v>112</v>
      </c>
      <c r="Q44" s="62"/>
      <c r="R44" s="62"/>
      <c r="S44" s="62"/>
      <c r="T44" s="62"/>
      <c r="U44" s="62"/>
      <c r="V44" s="62"/>
      <c r="W44" s="62"/>
      <c r="X44" s="62"/>
      <c r="Y44" s="137"/>
      <c r="Z44" s="137"/>
      <c r="AA44" s="137"/>
    </row>
    <row r="45" spans="1:27" ht="21.75" customHeight="1" thickBot="1">
      <c r="A45" s="157"/>
      <c r="B45" s="162" t="s">
        <v>133</v>
      </c>
      <c r="C45" s="163"/>
      <c r="D45" s="164"/>
      <c r="E45" s="164"/>
      <c r="F45" s="164"/>
      <c r="G45" s="164"/>
      <c r="H45" s="165"/>
      <c r="I45" s="164"/>
      <c r="J45" s="164"/>
      <c r="K45" s="158"/>
      <c r="L45" s="159"/>
      <c r="N45" s="136">
        <f>IF(G49="","",MONTH(G49))</f>
        <v>12</v>
      </c>
      <c r="O45" s="45"/>
      <c r="P45" s="138">
        <v>4</v>
      </c>
      <c r="Q45" s="138">
        <v>5</v>
      </c>
      <c r="R45" s="138">
        <v>6</v>
      </c>
      <c r="S45" s="138">
        <v>7</v>
      </c>
      <c r="T45" s="138">
        <v>8</v>
      </c>
      <c r="U45" s="138">
        <v>9</v>
      </c>
      <c r="V45" s="138">
        <v>10</v>
      </c>
      <c r="W45" s="138">
        <v>11</v>
      </c>
      <c r="X45" s="138">
        <v>12</v>
      </c>
      <c r="Y45" s="138">
        <v>1</v>
      </c>
      <c r="Z45" s="138">
        <v>2</v>
      </c>
      <c r="AA45" s="138">
        <v>3</v>
      </c>
    </row>
    <row r="46" spans="1:27" ht="21.75" customHeight="1" thickBot="1">
      <c r="A46" s="148" t="s">
        <v>157</v>
      </c>
      <c r="B46" s="149"/>
      <c r="C46" s="149"/>
      <c r="D46" s="149"/>
      <c r="E46" s="149"/>
      <c r="F46" s="149"/>
      <c r="G46" s="149"/>
      <c r="H46" s="149"/>
      <c r="I46" s="150"/>
      <c r="J46" s="150"/>
      <c r="K46" s="149"/>
      <c r="L46" s="151"/>
      <c r="N46" s="62" t="s">
        <v>111</v>
      </c>
      <c r="O46" s="45"/>
      <c r="P46" s="139">
        <v>12</v>
      </c>
      <c r="Q46" s="140">
        <v>11</v>
      </c>
      <c r="R46" s="140">
        <v>10</v>
      </c>
      <c r="S46" s="140">
        <v>9</v>
      </c>
      <c r="T46" s="140">
        <v>8</v>
      </c>
      <c r="U46" s="140">
        <v>7</v>
      </c>
      <c r="V46" s="140">
        <v>6</v>
      </c>
      <c r="W46" s="140">
        <v>5</v>
      </c>
      <c r="X46" s="140">
        <v>4</v>
      </c>
      <c r="Y46" s="140">
        <v>3</v>
      </c>
      <c r="Z46" s="140">
        <v>2</v>
      </c>
      <c r="AA46" s="141">
        <v>1</v>
      </c>
    </row>
    <row r="47" spans="1:27">
      <c r="A47" s="152"/>
      <c r="I47" s="15"/>
      <c r="J47" s="15"/>
      <c r="L47" s="153"/>
      <c r="N47" s="182">
        <f>IF(N45="",12,HLOOKUP(N45,P45:AA46,2,0))</f>
        <v>4</v>
      </c>
      <c r="O47" s="45"/>
      <c r="P47" s="77"/>
      <c r="Q47" s="77"/>
      <c r="R47" s="77"/>
      <c r="S47" s="77"/>
      <c r="T47" s="45"/>
      <c r="U47" s="45"/>
      <c r="V47" s="45"/>
      <c r="W47" s="45"/>
      <c r="X47" s="45"/>
      <c r="Y47" s="76"/>
      <c r="Z47" s="45"/>
      <c r="AA47" s="45"/>
    </row>
    <row r="48" spans="1:27" ht="9.75" customHeight="1" thickBot="1">
      <c r="A48" s="152"/>
      <c r="L48" s="153"/>
      <c r="N48" s="183"/>
      <c r="O48" s="45"/>
      <c r="P48" s="142" t="s">
        <v>167</v>
      </c>
      <c r="Q48" s="142"/>
      <c r="R48" s="77"/>
      <c r="S48" s="77"/>
      <c r="T48" s="45"/>
      <c r="U48" s="45"/>
      <c r="V48" s="45"/>
      <c r="W48" s="45"/>
      <c r="X48" s="45"/>
      <c r="Y48" s="45"/>
      <c r="Z48" s="45"/>
      <c r="AA48" s="45"/>
    </row>
    <row r="49" spans="1:27" ht="24" customHeight="1">
      <c r="A49" s="152"/>
      <c r="B49" s="210" t="s">
        <v>101</v>
      </c>
      <c r="C49" s="211"/>
      <c r="D49" s="211"/>
      <c r="E49" s="211"/>
      <c r="F49" s="212"/>
      <c r="G49" s="325">
        <v>44896</v>
      </c>
      <c r="H49" s="326"/>
      <c r="I49" s="326"/>
      <c r="J49" s="327"/>
      <c r="L49" s="153"/>
      <c r="N49" s="77"/>
      <c r="O49" s="45"/>
      <c r="P49" s="70" t="s">
        <v>109</v>
      </c>
      <c r="Q49" s="75">
        <v>2025</v>
      </c>
      <c r="R49" s="75">
        <v>4</v>
      </c>
      <c r="S49" s="77"/>
      <c r="T49" s="45"/>
      <c r="U49" s="45"/>
      <c r="V49" s="45"/>
      <c r="W49" s="45"/>
      <c r="X49" s="45"/>
      <c r="Y49" s="45"/>
      <c r="Z49" s="45"/>
      <c r="AA49" s="45"/>
    </row>
    <row r="50" spans="1:27" ht="21.75" customHeight="1" thickBot="1">
      <c r="A50" s="152"/>
      <c r="B50" s="213"/>
      <c r="C50" s="214"/>
      <c r="D50" s="214"/>
      <c r="E50" s="214"/>
      <c r="F50" s="215"/>
      <c r="G50" s="328"/>
      <c r="H50" s="329"/>
      <c r="I50" s="329"/>
      <c r="J50" s="330"/>
      <c r="L50" s="153"/>
      <c r="M50" s="1"/>
      <c r="N50" s="77"/>
      <c r="O50" s="45"/>
      <c r="P50" s="70" t="s">
        <v>108</v>
      </c>
      <c r="Q50" s="75">
        <f>Q49+1</f>
        <v>2026</v>
      </c>
      <c r="R50" s="75">
        <v>3</v>
      </c>
      <c r="S50" s="77"/>
      <c r="T50" s="45"/>
      <c r="U50" s="45"/>
      <c r="V50" s="45"/>
      <c r="W50" s="45"/>
      <c r="X50" s="45"/>
    </row>
    <row r="51" spans="1:27" ht="21.75" customHeight="1">
      <c r="A51" s="152"/>
      <c r="B51" s="143" t="s">
        <v>113</v>
      </c>
      <c r="L51" s="153"/>
      <c r="N51" s="99" t="s">
        <v>161</v>
      </c>
      <c r="O51" s="62"/>
      <c r="P51" s="99"/>
      <c r="Q51" s="77"/>
      <c r="R51" s="77"/>
      <c r="S51" s="77"/>
      <c r="T51" s="45"/>
      <c r="U51" s="45"/>
      <c r="V51" s="45"/>
      <c r="W51" s="45"/>
      <c r="X51" s="45"/>
    </row>
    <row r="52" spans="1:27" ht="21.75" customHeight="1">
      <c r="A52" s="152"/>
      <c r="B52" s="224" t="s">
        <v>107</v>
      </c>
      <c r="C52" s="226"/>
      <c r="D52" s="224" t="s">
        <v>109</v>
      </c>
      <c r="E52" s="228" t="str">
        <f>IF(N45="",Q49&amp;"年"&amp;R49&amp;"月",IF(OR((N45=1),(N45=2),(N45=3)),(Q50&amp;"年"&amp;N45&amp;"月"),Q49&amp;"年"&amp;N45&amp;"月"))</f>
        <v>2025年12月</v>
      </c>
      <c r="F52" s="229"/>
      <c r="G52" s="224" t="s">
        <v>108</v>
      </c>
      <c r="H52" s="232" t="str">
        <f>Q50&amp;"年"&amp;R50&amp;"月"</f>
        <v>2026年3月</v>
      </c>
      <c r="I52" s="233"/>
      <c r="J52" s="80"/>
      <c r="L52" s="153"/>
      <c r="N52" s="70" t="s">
        <v>162</v>
      </c>
      <c r="O52" s="70" t="s">
        <v>163</v>
      </c>
      <c r="P52" s="70" t="s">
        <v>129</v>
      </c>
      <c r="Q52" s="77"/>
      <c r="R52" s="77"/>
      <c r="S52" s="77"/>
      <c r="T52" s="45"/>
      <c r="U52" s="45"/>
      <c r="V52" s="45"/>
      <c r="W52" s="45"/>
      <c r="X52" s="45"/>
    </row>
    <row r="53" spans="1:27" ht="21.75" customHeight="1">
      <c r="A53" s="152"/>
      <c r="B53" s="225"/>
      <c r="C53" s="227"/>
      <c r="D53" s="225"/>
      <c r="E53" s="230"/>
      <c r="F53" s="231"/>
      <c r="G53" s="225"/>
      <c r="H53" s="225"/>
      <c r="I53" s="234"/>
      <c r="J53" s="80"/>
      <c r="L53" s="153"/>
      <c r="N53" s="70">
        <f>ROUNDDOWN(E37*N47/12,-2)</f>
        <v>23900</v>
      </c>
      <c r="O53" s="70">
        <f>ROUNDDOWN(G37*N47/12,-2)</f>
        <v>7300</v>
      </c>
      <c r="P53" s="70">
        <f>ROUNDDOWN(I37*N47/12,-2)</f>
        <v>6400</v>
      </c>
      <c r="Q53" s="77"/>
      <c r="R53" s="77"/>
      <c r="S53" s="77"/>
      <c r="T53" s="45"/>
      <c r="U53" s="45"/>
      <c r="V53" s="45"/>
      <c r="W53" s="45"/>
      <c r="X53" s="45"/>
    </row>
    <row r="54" spans="1:27" ht="21.75" customHeight="1" thickBot="1">
      <c r="A54" s="152"/>
      <c r="L54" s="153"/>
      <c r="N54" s="243">
        <f>SUM(N53:P53)</f>
        <v>37600</v>
      </c>
      <c r="O54" s="243"/>
      <c r="P54" s="243"/>
      <c r="Q54" s="77"/>
      <c r="R54" s="77"/>
      <c r="S54" s="77"/>
      <c r="T54" s="45"/>
      <c r="U54" s="45"/>
      <c r="V54" s="45"/>
      <c r="W54" s="45"/>
      <c r="X54" s="45"/>
    </row>
    <row r="55" spans="1:27" ht="21.75" customHeight="1">
      <c r="A55" s="152"/>
      <c r="B55" s="235" t="s">
        <v>135</v>
      </c>
      <c r="C55" s="236"/>
      <c r="D55" s="236"/>
      <c r="E55" s="241">
        <f>N47</f>
        <v>4</v>
      </c>
      <c r="F55" s="239" t="s">
        <v>136</v>
      </c>
      <c r="G55" s="319">
        <f>IF(G49="","0円",N54)</f>
        <v>37600</v>
      </c>
      <c r="H55" s="320"/>
      <c r="I55" s="320"/>
      <c r="J55" s="321"/>
      <c r="L55" s="153"/>
      <c r="N55" s="77"/>
      <c r="O55" s="45"/>
      <c r="P55" s="77"/>
      <c r="Q55" s="77"/>
      <c r="R55" s="77"/>
      <c r="S55" s="77"/>
      <c r="T55" s="45"/>
      <c r="U55" s="45"/>
      <c r="V55" s="45"/>
      <c r="W55" s="45"/>
      <c r="X55" s="45"/>
    </row>
    <row r="56" spans="1:27" ht="18" customHeight="1" thickBot="1">
      <c r="A56" s="152"/>
      <c r="B56" s="237"/>
      <c r="C56" s="238"/>
      <c r="D56" s="238"/>
      <c r="E56" s="242"/>
      <c r="F56" s="240"/>
      <c r="G56" s="322"/>
      <c r="H56" s="323"/>
      <c r="I56" s="323"/>
      <c r="J56" s="324"/>
      <c r="L56" s="153"/>
      <c r="O56" s="45"/>
      <c r="P56" s="77"/>
      <c r="Q56" s="77"/>
      <c r="R56" s="77"/>
      <c r="S56" s="77"/>
      <c r="T56" s="45"/>
      <c r="U56" s="45"/>
      <c r="V56" s="45"/>
      <c r="W56" s="45"/>
      <c r="X56" s="45"/>
    </row>
    <row r="57" spans="1:27" ht="21.75" customHeight="1" thickBot="1">
      <c r="A57" s="152"/>
      <c r="B57" s="78"/>
      <c r="C57" s="78"/>
      <c r="D57" s="78"/>
      <c r="E57" s="78"/>
      <c r="F57" s="78"/>
      <c r="G57" s="79"/>
      <c r="H57" s="79"/>
      <c r="I57" s="79"/>
      <c r="J57" s="79"/>
      <c r="L57" s="153"/>
      <c r="P57" s="3"/>
      <c r="Q57" s="3"/>
      <c r="R57" s="3"/>
      <c r="S57" s="3"/>
    </row>
    <row r="58" spans="1:27" ht="21.75" customHeight="1">
      <c r="A58" s="152"/>
      <c r="B58" s="210" t="s">
        <v>153</v>
      </c>
      <c r="C58" s="211"/>
      <c r="D58" s="211"/>
      <c r="E58" s="211"/>
      <c r="F58" s="211"/>
      <c r="G58" s="319">
        <f>IF(G49="",G40,IFERROR(ROUNDUP((G55/E55),0),"0円"))</f>
        <v>9400</v>
      </c>
      <c r="H58" s="320"/>
      <c r="I58" s="320"/>
      <c r="J58" s="321"/>
      <c r="L58" s="153"/>
      <c r="N58" s="222"/>
      <c r="O58" s="222"/>
      <c r="P58" s="222"/>
      <c r="Q58" s="222"/>
      <c r="R58" s="222"/>
      <c r="S58" s="222"/>
      <c r="T58" s="222"/>
      <c r="U58" s="222"/>
      <c r="V58" s="222"/>
      <c r="W58" s="222"/>
      <c r="X58" s="222"/>
    </row>
    <row r="59" spans="1:27" ht="21.75" customHeight="1" thickBot="1">
      <c r="A59" s="152"/>
      <c r="B59" s="213"/>
      <c r="C59" s="214"/>
      <c r="D59" s="214"/>
      <c r="E59" s="214"/>
      <c r="F59" s="214"/>
      <c r="G59" s="322"/>
      <c r="H59" s="323"/>
      <c r="I59" s="323"/>
      <c r="J59" s="324"/>
      <c r="L59" s="153"/>
      <c r="N59" s="223"/>
      <c r="O59" s="223"/>
      <c r="P59" s="223"/>
      <c r="Q59" s="223"/>
      <c r="R59" s="223"/>
      <c r="S59" s="223"/>
      <c r="T59" s="223"/>
      <c r="U59" s="223"/>
      <c r="V59" s="223"/>
      <c r="W59" s="223"/>
      <c r="X59" s="223"/>
    </row>
    <row r="60" spans="1:27" ht="21.75" customHeight="1">
      <c r="A60" s="152"/>
      <c r="B60" s="144" t="s">
        <v>103</v>
      </c>
      <c r="L60" s="153"/>
      <c r="N60" s="223"/>
      <c r="O60" s="223"/>
      <c r="P60" s="223"/>
      <c r="Q60" s="223"/>
      <c r="R60" s="223"/>
      <c r="S60" s="223"/>
      <c r="T60" s="223"/>
      <c r="U60" s="223"/>
      <c r="V60" s="223"/>
      <c r="W60" s="223"/>
      <c r="X60" s="223"/>
    </row>
    <row r="61" spans="1:27" ht="14.4">
      <c r="A61" s="152"/>
      <c r="B61" s="144" t="s">
        <v>124</v>
      </c>
      <c r="L61" s="153"/>
      <c r="N61" s="223"/>
      <c r="O61" s="223"/>
      <c r="P61" s="223"/>
      <c r="Q61" s="223"/>
      <c r="R61" s="223"/>
      <c r="S61" s="223"/>
      <c r="T61" s="223"/>
      <c r="U61" s="223"/>
      <c r="V61" s="223"/>
      <c r="W61" s="223"/>
      <c r="X61" s="223"/>
    </row>
    <row r="62" spans="1:27" ht="19.5" customHeight="1">
      <c r="A62" s="152"/>
      <c r="B62" s="144" t="s">
        <v>195</v>
      </c>
      <c r="C62" s="144"/>
      <c r="D62" s="1"/>
      <c r="E62" s="1"/>
      <c r="F62" s="1"/>
      <c r="G62" s="1"/>
      <c r="H62" s="1"/>
      <c r="I62" s="1"/>
      <c r="J62" s="1"/>
      <c r="L62" s="153"/>
      <c r="M62" s="1"/>
      <c r="N62" s="223"/>
      <c r="O62" s="223"/>
      <c r="P62" s="223"/>
      <c r="Q62" s="223"/>
      <c r="R62" s="223"/>
      <c r="S62" s="223"/>
      <c r="T62" s="223"/>
      <c r="U62" s="223"/>
      <c r="V62" s="223"/>
      <c r="W62" s="223"/>
      <c r="X62" s="223"/>
    </row>
    <row r="63" spans="1:27" ht="19.5" customHeight="1">
      <c r="A63" s="152"/>
      <c r="C63" s="145" t="s">
        <v>196</v>
      </c>
      <c r="K63" s="45"/>
      <c r="L63" s="153"/>
      <c r="M63" s="1"/>
      <c r="N63" s="223"/>
      <c r="O63" s="223"/>
      <c r="P63" s="223"/>
      <c r="Q63" s="223"/>
      <c r="R63" s="223"/>
      <c r="S63" s="223"/>
      <c r="T63" s="223"/>
      <c r="U63" s="223"/>
      <c r="V63" s="223"/>
      <c r="W63" s="223"/>
      <c r="X63" s="223"/>
    </row>
    <row r="64" spans="1:27" ht="19.5" customHeight="1">
      <c r="A64" s="152"/>
      <c r="B64" s="146" t="s">
        <v>125</v>
      </c>
      <c r="C64" s="146"/>
      <c r="D64" s="147"/>
      <c r="E64" s="147"/>
      <c r="F64" s="147"/>
      <c r="G64" s="147"/>
      <c r="H64" s="147"/>
      <c r="I64" s="147"/>
      <c r="J64" s="147"/>
      <c r="K64" s="45"/>
      <c r="L64" s="153"/>
      <c r="M64" s="12"/>
      <c r="N64" s="223"/>
      <c r="O64" s="223"/>
      <c r="P64" s="223"/>
      <c r="Q64" s="223"/>
      <c r="R64" s="223"/>
      <c r="S64" s="223"/>
      <c r="T64" s="223"/>
      <c r="U64" s="223"/>
      <c r="V64" s="223"/>
      <c r="W64" s="223"/>
      <c r="X64" s="223"/>
    </row>
    <row r="65" spans="1:24" ht="19.5" customHeight="1">
      <c r="A65" s="152"/>
      <c r="B65" s="45"/>
      <c r="C65" s="146" t="s">
        <v>118</v>
      </c>
      <c r="D65" s="45"/>
      <c r="E65" s="45"/>
      <c r="F65" s="45"/>
      <c r="G65" s="45"/>
      <c r="H65" s="45"/>
      <c r="I65" s="45"/>
      <c r="J65" s="45"/>
      <c r="L65" s="154"/>
      <c r="M65" s="12"/>
      <c r="N65" s="223"/>
      <c r="O65" s="223"/>
      <c r="P65" s="223"/>
      <c r="Q65" s="223"/>
      <c r="R65" s="223"/>
      <c r="S65" s="223"/>
      <c r="T65" s="223"/>
      <c r="U65" s="223"/>
      <c r="V65" s="223"/>
      <c r="W65" s="223"/>
      <c r="X65" s="223"/>
    </row>
    <row r="66" spans="1:24" ht="19.5" customHeight="1">
      <c r="A66" s="152"/>
      <c r="C66" s="145" t="s">
        <v>134</v>
      </c>
      <c r="L66" s="155"/>
      <c r="M66" s="16"/>
    </row>
    <row r="67" spans="1:24" ht="19.5" customHeight="1">
      <c r="A67" s="152"/>
      <c r="B67" s="146" t="s">
        <v>130</v>
      </c>
      <c r="L67" s="155"/>
    </row>
    <row r="68" spans="1:24" ht="19.5" customHeight="1">
      <c r="A68" s="152"/>
      <c r="C68" s="146" t="s">
        <v>131</v>
      </c>
      <c r="L68" s="156"/>
    </row>
    <row r="69" spans="1:24" ht="19.5" customHeight="1" thickBot="1">
      <c r="A69" s="157"/>
      <c r="B69" s="158"/>
      <c r="C69" s="158"/>
      <c r="D69" s="158"/>
      <c r="E69" s="158"/>
      <c r="F69" s="158"/>
      <c r="G69" s="158"/>
      <c r="H69" s="158"/>
      <c r="I69" s="158"/>
      <c r="J69" s="158"/>
      <c r="K69" s="158"/>
      <c r="L69" s="159"/>
    </row>
    <row r="70" spans="1:24" ht="19.5" customHeight="1"/>
    <row r="71" spans="1:24" ht="19.5" customHeight="1"/>
    <row r="72" spans="1:24" ht="19.5" customHeight="1">
      <c r="N72" s="1"/>
      <c r="O72" s="1"/>
    </row>
    <row r="73" spans="1:24" ht="19.5" customHeight="1">
      <c r="N73" s="1"/>
      <c r="O73" s="1"/>
    </row>
    <row r="74" spans="1:24" ht="19.5" customHeight="1">
      <c r="N74" s="12"/>
      <c r="O74" s="12"/>
      <c r="P74" s="12"/>
    </row>
    <row r="75" spans="1:24" ht="14.4">
      <c r="N75" s="12"/>
      <c r="O75" s="12"/>
      <c r="P75" s="12"/>
    </row>
    <row r="76" spans="1:24" ht="14.4">
      <c r="N76" s="16"/>
      <c r="O76" s="16"/>
      <c r="P76" s="12"/>
    </row>
  </sheetData>
  <sheetProtection algorithmName="SHA-512" hashValue="9AVJT9JT9LslYh2+K1Z/B1DzwjnP1k9z2pIeFFFrcLQFFy3qalilDsc0CHg9ZcrEpiJpgvmJ/wbnJ4FdF6pp/Q==" saltValue="Q7h/bMweVEfRVcAAqHF2nQ==" spinCount="100000" sheet="1" objects="1" scenarios="1" selectLockedCells="1"/>
  <protectedRanges>
    <protectedRange sqref="C13:H16 C11:C12 F11:H12" name="範囲1"/>
    <protectedRange sqref="G49" name="範囲2"/>
    <protectedRange sqref="D11:E12" name="範囲1_1"/>
  </protectedRanges>
  <dataConsolidate link="1"/>
  <mergeCells count="104">
    <mergeCell ref="N54:P54"/>
    <mergeCell ref="B55:D56"/>
    <mergeCell ref="E55:E56"/>
    <mergeCell ref="F55:F56"/>
    <mergeCell ref="G55:J56"/>
    <mergeCell ref="B58:F59"/>
    <mergeCell ref="G58:J59"/>
    <mergeCell ref="N58:X65"/>
    <mergeCell ref="N47:N48"/>
    <mergeCell ref="B49:F50"/>
    <mergeCell ref="G49:J50"/>
    <mergeCell ref="B52:C53"/>
    <mergeCell ref="D52:D53"/>
    <mergeCell ref="E52:F53"/>
    <mergeCell ref="G52:G53"/>
    <mergeCell ref="H52:I53"/>
    <mergeCell ref="S38:T38"/>
    <mergeCell ref="U38:U39"/>
    <mergeCell ref="S39:T39"/>
    <mergeCell ref="B40:F40"/>
    <mergeCell ref="G40:J40"/>
    <mergeCell ref="N40:N41"/>
    <mergeCell ref="O40:Q40"/>
    <mergeCell ref="S40:T40"/>
    <mergeCell ref="O41:Q41"/>
    <mergeCell ref="B37:D37"/>
    <mergeCell ref="E37:F37"/>
    <mergeCell ref="G37:H37"/>
    <mergeCell ref="I37:J37"/>
    <mergeCell ref="B38:D38"/>
    <mergeCell ref="E38:F38"/>
    <mergeCell ref="G38:H38"/>
    <mergeCell ref="I38:J38"/>
    <mergeCell ref="B35:D35"/>
    <mergeCell ref="E35:F35"/>
    <mergeCell ref="G35:H35"/>
    <mergeCell ref="I35:J35"/>
    <mergeCell ref="B36:D36"/>
    <mergeCell ref="E36:F36"/>
    <mergeCell ref="G36:H36"/>
    <mergeCell ref="I36:J36"/>
    <mergeCell ref="B33:D33"/>
    <mergeCell ref="E33:F33"/>
    <mergeCell ref="G33:H33"/>
    <mergeCell ref="I33:J33"/>
    <mergeCell ref="T33:U33"/>
    <mergeCell ref="B34:D34"/>
    <mergeCell ref="E34:F34"/>
    <mergeCell ref="G34:H34"/>
    <mergeCell ref="I34:J34"/>
    <mergeCell ref="T27:U27"/>
    <mergeCell ref="T28:U28"/>
    <mergeCell ref="T29:U29"/>
    <mergeCell ref="T30:U30"/>
    <mergeCell ref="T31:U31"/>
    <mergeCell ref="T32:U32"/>
    <mergeCell ref="T21:U21"/>
    <mergeCell ref="W21:X21"/>
    <mergeCell ref="T22:U22"/>
    <mergeCell ref="W22:X22"/>
    <mergeCell ref="T25:U25"/>
    <mergeCell ref="T26:U26"/>
    <mergeCell ref="T18:U18"/>
    <mergeCell ref="W18:X18"/>
    <mergeCell ref="T19:U19"/>
    <mergeCell ref="W19:X19"/>
    <mergeCell ref="T20:U20"/>
    <mergeCell ref="W20:X20"/>
    <mergeCell ref="J16:K16"/>
    <mergeCell ref="T16:U16"/>
    <mergeCell ref="W16:X16"/>
    <mergeCell ref="T17:U17"/>
    <mergeCell ref="W17:X17"/>
    <mergeCell ref="T14:U14"/>
    <mergeCell ref="W14:X14"/>
    <mergeCell ref="J15:K15"/>
    <mergeCell ref="T15:U15"/>
    <mergeCell ref="W15:X15"/>
    <mergeCell ref="J11:K11"/>
    <mergeCell ref="J12:K12"/>
    <mergeCell ref="N6:N9"/>
    <mergeCell ref="O6:P6"/>
    <mergeCell ref="Q6:R6"/>
    <mergeCell ref="O7:P7"/>
    <mergeCell ref="Q7:R7"/>
    <mergeCell ref="O8:P8"/>
    <mergeCell ref="Q8:R8"/>
    <mergeCell ref="J9:K10"/>
    <mergeCell ref="O9:P9"/>
    <mergeCell ref="Q9:R9"/>
    <mergeCell ref="D9:D10"/>
    <mergeCell ref="E9:E10"/>
    <mergeCell ref="F9:F10"/>
    <mergeCell ref="G9:G10"/>
    <mergeCell ref="H9:H10"/>
    <mergeCell ref="C17:I17"/>
    <mergeCell ref="J17:K17"/>
    <mergeCell ref="A1:L3"/>
    <mergeCell ref="A4:L6"/>
    <mergeCell ref="J13:K13"/>
    <mergeCell ref="J14:K14"/>
    <mergeCell ref="B9:B10"/>
    <mergeCell ref="I9:I10"/>
    <mergeCell ref="C9:C10"/>
  </mergeCells>
  <phoneticPr fontId="1"/>
  <conditionalFormatting sqref="C11:H16">
    <cfRule type="containsBlanks" dxfId="2" priority="1">
      <formula>LEN(TRIM(C11))=0</formula>
    </cfRule>
  </conditionalFormatting>
  <conditionalFormatting sqref="G49:J50">
    <cfRule type="containsBlanks" dxfId="1" priority="2">
      <formula>LEN(TRIM(G49))=0</formula>
    </cfRule>
  </conditionalFormatting>
  <conditionalFormatting sqref="V39:X39">
    <cfRule type="containsText" dxfId="0" priority="3" operator="containsText" text="○">
      <formula>NOT(ISERROR(SEARCH("○",V39)))</formula>
    </cfRule>
  </conditionalFormatting>
  <dataValidations count="5">
    <dataValidation type="list" allowBlank="1" showErrorMessage="1" sqref="C11" xr:uid="{00000000-0002-0000-0200-000000000000}">
      <formula1>"加入,擬主"</formula1>
    </dataValidation>
    <dataValidation type="list" allowBlank="1" showInputMessage="1" showErrorMessage="1" sqref="C12:C16" xr:uid="{00000000-0002-0000-0200-000001000000}">
      <formula1>"加入"</formula1>
    </dataValidation>
    <dataValidation type="list" showInputMessage="1" sqref="H11:H16" xr:uid="{00000000-0002-0000-0200-000002000000}">
      <formula1>"〇,　"</formula1>
    </dataValidation>
    <dataValidation type="custom" allowBlank="1" showInputMessage="1" showErrorMessage="1" error="0以上の数値を入力してください" sqref="E11:E16" xr:uid="{00000000-0002-0000-0200-000003000000}">
      <formula1>E11&gt;=0</formula1>
    </dataValidation>
    <dataValidation type="list" allowBlank="1" showInputMessage="1" showErrorMessage="1" sqref="D11:D16" xr:uid="{00000000-0002-0000-0200-000004000000}">
      <formula1>"0～6才,7～18才,19～39才,40～64才,65～74才,75才以上"</formula1>
    </dataValidation>
  </dataValidations>
  <printOptions horizontalCentered="1" verticalCentered="1"/>
  <pageMargins left="0.23622047244094491" right="0.23622047244094491" top="0.35433070866141736" bottom="0.35433070866141736" header="0.31496062992125984" footer="0.31496062992125984"/>
  <pageSetup paperSize="9" scale="45" orientation="portrait" r:id="rId1"/>
  <colBreaks count="1" manualBreakCount="1">
    <brk id="12" max="3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I7:Q24"/>
  <sheetViews>
    <sheetView showGridLines="0" view="pageBreakPreview" topLeftCell="A17" zoomScaleNormal="100" zoomScaleSheetLayoutView="100" workbookViewId="0">
      <selection activeCell="J23" sqref="J23:L24"/>
    </sheetView>
  </sheetViews>
  <sheetFormatPr defaultRowHeight="13.2"/>
  <cols>
    <col min="14" max="19" width="0" hidden="1" customWidth="1"/>
  </cols>
  <sheetData>
    <row r="7" spans="9:17" ht="23.4">
      <c r="I7" s="108"/>
      <c r="J7" s="108" t="s">
        <v>143</v>
      </c>
      <c r="N7" s="336" t="s">
        <v>137</v>
      </c>
      <c r="O7" s="336"/>
      <c r="P7" s="336"/>
      <c r="Q7" s="336"/>
    </row>
    <row r="8" spans="9:17" ht="23.4">
      <c r="I8" s="108"/>
      <c r="J8" s="108"/>
      <c r="N8" s="337" t="s">
        <v>138</v>
      </c>
      <c r="O8" s="337"/>
      <c r="P8" s="337"/>
      <c r="Q8" s="100" t="s">
        <v>139</v>
      </c>
    </row>
    <row r="9" spans="9:17">
      <c r="J9" s="340" t="s">
        <v>170</v>
      </c>
      <c r="K9" s="340"/>
      <c r="L9" s="340"/>
      <c r="N9" s="101">
        <v>0</v>
      </c>
      <c r="O9" s="102" t="s">
        <v>140</v>
      </c>
      <c r="P9" s="101">
        <v>550999</v>
      </c>
      <c r="Q9" s="101">
        <f>IF(P22&lt;=P9,0,"")</f>
        <v>0</v>
      </c>
    </row>
    <row r="10" spans="9:17">
      <c r="J10" s="340"/>
      <c r="K10" s="340"/>
      <c r="L10" s="340"/>
      <c r="N10" s="101">
        <v>551000</v>
      </c>
      <c r="O10" s="102" t="s">
        <v>140</v>
      </c>
      <c r="P10" s="101">
        <v>1618999</v>
      </c>
      <c r="Q10" s="101" t="str">
        <f>IF(AND(N10&lt;=P22,P22&lt;=P10),P22-550000,"")</f>
        <v/>
      </c>
    </row>
    <row r="11" spans="9:17">
      <c r="I11" s="339" t="s">
        <v>145</v>
      </c>
      <c r="N11" s="101">
        <v>1619000</v>
      </c>
      <c r="O11" s="102" t="s">
        <v>140</v>
      </c>
      <c r="P11" s="101">
        <v>1619999</v>
      </c>
      <c r="Q11" s="101" t="str">
        <f>IF(AND(N11&lt;=P22,P22&lt;=P11),1069000,"")</f>
        <v/>
      </c>
    </row>
    <row r="12" spans="9:17">
      <c r="I12" s="339"/>
      <c r="J12" s="333"/>
      <c r="K12" s="333"/>
      <c r="L12" s="333"/>
      <c r="N12" s="101">
        <v>1620000</v>
      </c>
      <c r="O12" s="102" t="s">
        <v>140</v>
      </c>
      <c r="P12" s="101">
        <v>1621999</v>
      </c>
      <c r="Q12" s="101" t="str">
        <f>IF(AND(N12&lt;=P22,P22&lt;=P12),1070000,"")</f>
        <v/>
      </c>
    </row>
    <row r="13" spans="9:17">
      <c r="I13" s="339"/>
      <c r="J13" s="334"/>
      <c r="K13" s="334"/>
      <c r="L13" s="334"/>
      <c r="M13" t="s">
        <v>144</v>
      </c>
      <c r="N13" s="101">
        <v>1622000</v>
      </c>
      <c r="O13" s="102" t="s">
        <v>140</v>
      </c>
      <c r="P13" s="101">
        <v>1623999</v>
      </c>
      <c r="Q13" s="101" t="str">
        <f>IF(AND(N13&lt;=P22,P22&lt;=P13),1072000,"")</f>
        <v/>
      </c>
    </row>
    <row r="14" spans="9:17">
      <c r="N14" s="101">
        <v>1624000</v>
      </c>
      <c r="O14" s="102" t="s">
        <v>140</v>
      </c>
      <c r="P14" s="101">
        <v>1627999</v>
      </c>
      <c r="Q14" s="101" t="str">
        <f>IF(AND(N14&lt;=P22,P22&lt;=P14),1074000,"")</f>
        <v/>
      </c>
    </row>
    <row r="15" spans="9:17">
      <c r="N15" s="101">
        <v>1628000</v>
      </c>
      <c r="O15" s="102" t="s">
        <v>140</v>
      </c>
      <c r="P15" s="101">
        <v>1799999</v>
      </c>
      <c r="Q15" s="101" t="str">
        <f>IF(AND(N15&lt;=P22,P22&lt;=P15),ROUNDDOWN(P22/4,-3)*2.4+100000,"")</f>
        <v/>
      </c>
    </row>
    <row r="16" spans="9:17">
      <c r="N16" s="101">
        <v>1800000</v>
      </c>
      <c r="O16" s="102" t="s">
        <v>140</v>
      </c>
      <c r="P16" s="101">
        <v>3599999</v>
      </c>
      <c r="Q16" s="101" t="str">
        <f>IF(AND(N16&lt;=P22,P22&lt;=P16),ROUNDDOWN(P22/4,-3)*2.8-80000,"")</f>
        <v/>
      </c>
    </row>
    <row r="17" spans="9:17">
      <c r="N17" s="101">
        <v>3600000</v>
      </c>
      <c r="O17" s="102" t="s">
        <v>140</v>
      </c>
      <c r="P17" s="101">
        <v>6599999</v>
      </c>
      <c r="Q17" s="101" t="str">
        <f>IF(AND(N17&lt;=P22,P22&lt;=P17),ROUNDDOWN(P22/4,-3)*3.2-440000,"")</f>
        <v/>
      </c>
    </row>
    <row r="18" spans="9:17">
      <c r="N18" s="101">
        <v>6600000</v>
      </c>
      <c r="O18" s="102" t="s">
        <v>140</v>
      </c>
      <c r="P18" s="101">
        <v>8499999</v>
      </c>
      <c r="Q18" s="101" t="str">
        <f>IF(AND(N18&lt;=P22,P22&lt;=P18),P22*0.9-1100000,"")</f>
        <v/>
      </c>
    </row>
    <row r="19" spans="9:17">
      <c r="N19" s="101">
        <v>8500000</v>
      </c>
      <c r="O19" s="102" t="s">
        <v>140</v>
      </c>
      <c r="P19" s="101"/>
      <c r="Q19" s="101" t="str">
        <f>IF(N19&lt;=P22,P22-1950000,"")</f>
        <v/>
      </c>
    </row>
    <row r="20" spans="9:17">
      <c r="N20" s="101"/>
      <c r="O20" s="102" t="s">
        <v>140</v>
      </c>
      <c r="P20" s="101"/>
      <c r="Q20" s="101"/>
    </row>
    <row r="21" spans="9:17" ht="21">
      <c r="I21" s="335" t="s">
        <v>171</v>
      </c>
      <c r="J21" s="335"/>
      <c r="K21" s="335"/>
      <c r="L21" s="335"/>
      <c r="N21" s="338" t="s">
        <v>141</v>
      </c>
      <c r="O21" s="338"/>
      <c r="P21" s="338"/>
      <c r="Q21" s="103" t="s">
        <v>142</v>
      </c>
    </row>
    <row r="22" spans="9:17">
      <c r="N22" s="104"/>
      <c r="O22" s="105"/>
      <c r="P22" s="106">
        <f>J12</f>
        <v>0</v>
      </c>
      <c r="Q22" s="107">
        <f>SUM(Q9:Q19)</f>
        <v>0</v>
      </c>
    </row>
    <row r="23" spans="9:17">
      <c r="J23" s="331">
        <f>Q22</f>
        <v>0</v>
      </c>
      <c r="K23" s="331"/>
      <c r="L23" s="331"/>
    </row>
    <row r="24" spans="9:17">
      <c r="J24" s="332"/>
      <c r="K24" s="332"/>
      <c r="L24" s="332"/>
      <c r="M24" t="s">
        <v>144</v>
      </c>
    </row>
  </sheetData>
  <sheetProtection algorithmName="SHA-512" hashValue="he99zPGqLXjmKszAbJo1tUWCI5UGn2VdZSZRaRPg3byq+swcPuPOrD85VsWAS446bXXE/f7QhPghOM8E5JrzTA==" saltValue="4GZxOCyeJpdDoJp9wJ+Lmg==" spinCount="100000" sheet="1" objects="1" scenarios="1" selectLockedCells="1"/>
  <customSheetViews>
    <customSheetView guid="{FEF7E134-FAA0-44BF-BC01-319EC6ED6317}" showPageBreaks="1" showGridLines="0" showRowCol="0" view="pageBreakPreview">
      <pageMargins left="0.7" right="0.7" top="0.75" bottom="0.75" header="0.3" footer="0.3"/>
      <pageSetup paperSize="9" orientation="portrait" r:id="rId1"/>
    </customSheetView>
  </customSheetViews>
  <mergeCells count="8">
    <mergeCell ref="J23:L24"/>
    <mergeCell ref="J12:L13"/>
    <mergeCell ref="I21:L21"/>
    <mergeCell ref="N7:Q7"/>
    <mergeCell ref="N8:P8"/>
    <mergeCell ref="N21:P21"/>
    <mergeCell ref="I11:I13"/>
    <mergeCell ref="J9:L10"/>
  </mergeCells>
  <phoneticPr fontId="1"/>
  <pageMargins left="0.7" right="0.7" top="0.75" bottom="0.75" header="0.3" footer="0.3"/>
  <pageSetup paperSize="9" scale="76"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33:S51"/>
  <sheetViews>
    <sheetView showGridLines="0" view="pageBreakPreview" zoomScale="73" zoomScaleNormal="76" zoomScaleSheetLayoutView="73" workbookViewId="0">
      <selection activeCell="C35" sqref="C35:G37"/>
    </sheetView>
  </sheetViews>
  <sheetFormatPr defaultRowHeight="13.2"/>
  <sheetData>
    <row r="33" spans="2:19">
      <c r="P33" s="337" t="s">
        <v>147</v>
      </c>
      <c r="Q33" s="337"/>
      <c r="R33" s="337"/>
      <c r="S33" s="337"/>
    </row>
    <row r="34" spans="2:19" ht="28.2">
      <c r="B34" s="109">
        <v>1</v>
      </c>
      <c r="C34" s="108" t="s">
        <v>198</v>
      </c>
      <c r="D34" s="109"/>
      <c r="E34" s="109"/>
      <c r="F34" s="109"/>
      <c r="G34" s="109"/>
      <c r="P34" s="337" t="s">
        <v>148</v>
      </c>
      <c r="Q34" s="337"/>
      <c r="R34" s="337"/>
      <c r="S34" s="110" t="s">
        <v>149</v>
      </c>
    </row>
    <row r="35" spans="2:19">
      <c r="C35" s="346" t="s">
        <v>184</v>
      </c>
      <c r="D35" s="346"/>
      <c r="E35" s="346"/>
      <c r="F35" s="346"/>
      <c r="G35" s="346"/>
      <c r="P35" s="101">
        <v>0</v>
      </c>
      <c r="Q35" s="102" t="s">
        <v>140</v>
      </c>
      <c r="R35" s="101">
        <v>600000</v>
      </c>
      <c r="S35" s="111" t="str">
        <f>IF(AND(Q49&lt;65,R49&lt;=R35),0,"")</f>
        <v/>
      </c>
    </row>
    <row r="36" spans="2:19">
      <c r="C36" s="346"/>
      <c r="D36" s="346"/>
      <c r="E36" s="346"/>
      <c r="F36" s="346"/>
      <c r="G36" s="346"/>
      <c r="P36" s="101">
        <v>600001</v>
      </c>
      <c r="Q36" s="102" t="s">
        <v>140</v>
      </c>
      <c r="R36" s="101">
        <v>1300000</v>
      </c>
      <c r="S36" s="111" t="str">
        <f>IF(AND(Q49&lt;65,P36&lt;=R49,R36&gt;=R49),R49-600000,"")</f>
        <v/>
      </c>
    </row>
    <row r="37" spans="2:19">
      <c r="C37" s="346"/>
      <c r="D37" s="346"/>
      <c r="E37" s="346"/>
      <c r="F37" s="346"/>
      <c r="G37" s="346"/>
      <c r="P37" s="101">
        <v>1300001</v>
      </c>
      <c r="Q37" s="102" t="s">
        <v>140</v>
      </c>
      <c r="R37" s="101">
        <v>4100000</v>
      </c>
      <c r="S37" s="111" t="str">
        <f>IF(AND(Q49&lt;65,P37&lt;=R49,R37&gt;=R49),R49-(R49*0.25+275000),"")</f>
        <v/>
      </c>
    </row>
    <row r="38" spans="2:19" ht="28.2">
      <c r="B38" s="109">
        <v>2</v>
      </c>
      <c r="C38" s="108" t="s">
        <v>146</v>
      </c>
      <c r="P38" s="101">
        <v>4100001</v>
      </c>
      <c r="Q38" s="102" t="s">
        <v>140</v>
      </c>
      <c r="R38" s="101">
        <v>7700000</v>
      </c>
      <c r="S38" s="111" t="str">
        <f>IF(AND(Q49&lt;65,P38&lt;=R49,R38&gt;=R49),R49-(R49*0.15+685000),"")</f>
        <v/>
      </c>
    </row>
    <row r="39" spans="2:19">
      <c r="B39" s="351" t="s">
        <v>169</v>
      </c>
      <c r="C39" s="347"/>
      <c r="D39" s="347"/>
      <c r="E39" s="347"/>
      <c r="F39" s="347"/>
      <c r="G39" s="347"/>
      <c r="H39" s="349" t="s">
        <v>144</v>
      </c>
      <c r="P39" s="101">
        <v>7700001</v>
      </c>
      <c r="Q39" s="102" t="s">
        <v>140</v>
      </c>
      <c r="R39" s="101">
        <v>10000000</v>
      </c>
      <c r="S39" s="111" t="str">
        <f>IF(AND(Q49&lt;65,P39&lt;=R49,R39&gt;=R49),R49-(R49*0.05+1455000),"")</f>
        <v/>
      </c>
    </row>
    <row r="40" spans="2:19">
      <c r="B40" s="351"/>
      <c r="C40" s="347"/>
      <c r="D40" s="347"/>
      <c r="E40" s="347"/>
      <c r="F40" s="347"/>
      <c r="G40" s="347"/>
      <c r="H40" s="349"/>
      <c r="P40" s="101">
        <v>10000001</v>
      </c>
      <c r="Q40" s="102" t="s">
        <v>140</v>
      </c>
      <c r="R40" s="101"/>
      <c r="S40" s="111" t="str">
        <f>IF(AND(Q49&lt;65,P40&lt;=R49),R49-1955000,"")</f>
        <v/>
      </c>
    </row>
    <row r="41" spans="2:19">
      <c r="B41" s="351"/>
      <c r="C41" s="348"/>
      <c r="D41" s="348"/>
      <c r="E41" s="348"/>
      <c r="F41" s="348"/>
      <c r="G41" s="348"/>
      <c r="H41" s="350"/>
      <c r="P41" s="342" t="s">
        <v>150</v>
      </c>
      <c r="Q41" s="342"/>
      <c r="R41" s="342"/>
      <c r="S41" s="342"/>
    </row>
    <row r="42" spans="2:19">
      <c r="P42" s="101">
        <v>0</v>
      </c>
      <c r="Q42" s="102" t="s">
        <v>140</v>
      </c>
      <c r="R42" s="101">
        <v>1100000</v>
      </c>
      <c r="S42" s="111">
        <v>0</v>
      </c>
    </row>
    <row r="43" spans="2:19">
      <c r="P43" s="101">
        <v>1100001</v>
      </c>
      <c r="Q43" s="102" t="s">
        <v>140</v>
      </c>
      <c r="R43" s="101">
        <v>3300000</v>
      </c>
      <c r="S43" s="111" t="str">
        <f>IF(AND(Q49&gt;=65,P43&lt;=R49,R43&gt;=R49),R49-1100000,"")</f>
        <v/>
      </c>
    </row>
    <row r="44" spans="2:19">
      <c r="P44" s="101">
        <v>3300001</v>
      </c>
      <c r="Q44" s="102" t="s">
        <v>140</v>
      </c>
      <c r="R44" s="101">
        <v>4100000</v>
      </c>
      <c r="S44" s="111" t="str">
        <f>IF(AND(Q49&gt;=65,P44&lt;=R49,R44&gt;=R49),R49-(R49*0.25+275000),"")</f>
        <v/>
      </c>
    </row>
    <row r="45" spans="2:19">
      <c r="P45" s="101">
        <v>4100001</v>
      </c>
      <c r="Q45" s="102" t="s">
        <v>140</v>
      </c>
      <c r="R45" s="101">
        <v>7700000</v>
      </c>
      <c r="S45" s="111" t="str">
        <f>IF(AND(Q49=65,P45&lt;=R49,R45&gt;=R49),R49-(R49*0.15+685000),"")</f>
        <v/>
      </c>
    </row>
    <row r="46" spans="2:19">
      <c r="P46" s="101">
        <v>7700001</v>
      </c>
      <c r="Q46" s="102" t="s">
        <v>140</v>
      </c>
      <c r="R46" s="101">
        <v>10000000</v>
      </c>
      <c r="S46" s="111" t="str">
        <f>IF(AND(Q49&gt;=65,P46&lt;=R49,R46&gt;=R49),R49-(R49*0.05+1455000),"")</f>
        <v/>
      </c>
    </row>
    <row r="47" spans="2:19" ht="28.2">
      <c r="B47" s="352" t="s">
        <v>172</v>
      </c>
      <c r="C47" s="352"/>
      <c r="D47" s="352"/>
      <c r="E47" s="352"/>
      <c r="F47" s="352"/>
      <c r="G47" s="352"/>
      <c r="H47" s="352"/>
      <c r="P47" s="101">
        <v>10000001</v>
      </c>
      <c r="Q47" s="102" t="s">
        <v>140</v>
      </c>
      <c r="R47" s="101"/>
      <c r="S47" s="111" t="str">
        <f>IF(AND(Q49&gt;=65,P47&lt;=R49),R49-1955000,"")</f>
        <v/>
      </c>
    </row>
    <row r="48" spans="2:19" ht="13.5" customHeight="1">
      <c r="B48" s="341">
        <f>S49</f>
        <v>0</v>
      </c>
      <c r="C48" s="341"/>
      <c r="D48" s="341"/>
      <c r="E48" s="341"/>
      <c r="F48" s="341"/>
      <c r="G48" s="341"/>
      <c r="H48" s="121"/>
      <c r="P48" s="343" t="s">
        <v>151</v>
      </c>
      <c r="Q48" s="343"/>
      <c r="R48" s="343"/>
      <c r="S48" s="112" t="s">
        <v>152</v>
      </c>
    </row>
    <row r="49" spans="2:19" ht="13.5" customHeight="1">
      <c r="B49" s="341"/>
      <c r="C49" s="341"/>
      <c r="D49" s="341"/>
      <c r="E49" s="341"/>
      <c r="F49" s="341"/>
      <c r="G49" s="341"/>
      <c r="H49" s="344" t="s">
        <v>144</v>
      </c>
      <c r="P49" s="113" t="s">
        <v>199</v>
      </c>
      <c r="Q49" s="114">
        <f>IF(C35="はい",65,64)</f>
        <v>65</v>
      </c>
      <c r="R49" s="111">
        <f>C39</f>
        <v>0</v>
      </c>
      <c r="S49" s="111">
        <f>SUM(S35:S47)</f>
        <v>0</v>
      </c>
    </row>
    <row r="50" spans="2:19" ht="13.5" customHeight="1">
      <c r="B50" s="341"/>
      <c r="C50" s="341"/>
      <c r="D50" s="341"/>
      <c r="E50" s="341"/>
      <c r="F50" s="341"/>
      <c r="G50" s="341"/>
      <c r="H50" s="344"/>
    </row>
    <row r="51" spans="2:19" ht="13.5" customHeight="1">
      <c r="B51" s="341"/>
      <c r="C51" s="341"/>
      <c r="D51" s="341"/>
      <c r="E51" s="341"/>
      <c r="F51" s="341"/>
      <c r="G51" s="341"/>
      <c r="H51" s="345"/>
    </row>
  </sheetData>
  <sheetProtection algorithmName="SHA-512" hashValue="IQhEd9tqrNLJ4fV08fGwHYV3emgFDD3+jlg2DW768/T0zk8/yN7sZd2zRqZVAqPiBexaXjlytUdnVqS7JK8y+w==" saltValue="VY0cVNb7fDJdlL2Qk8RZmw==" spinCount="100000" sheet="1" objects="1" scenarios="1" selectLockedCells="1"/>
  <customSheetViews>
    <customSheetView guid="{FEF7E134-FAA0-44BF-BC01-319EC6ED6317}" scale="85" showPageBreaks="1" showGridLines="0" view="pageBreakPreview">
      <pageMargins left="0.7" right="0.7" top="0.75" bottom="0.75" header="0.3" footer="0.3"/>
      <pageSetup paperSize="9" scale="70" orientation="portrait" r:id="rId1"/>
    </customSheetView>
  </customSheetViews>
  <mergeCells count="11">
    <mergeCell ref="B48:G51"/>
    <mergeCell ref="P33:S33"/>
    <mergeCell ref="P34:R34"/>
    <mergeCell ref="P41:S41"/>
    <mergeCell ref="P48:R48"/>
    <mergeCell ref="H49:H51"/>
    <mergeCell ref="C35:G37"/>
    <mergeCell ref="C39:G41"/>
    <mergeCell ref="H39:H41"/>
    <mergeCell ref="B39:B41"/>
    <mergeCell ref="B47:H47"/>
  </mergeCells>
  <phoneticPr fontId="1"/>
  <dataValidations count="1">
    <dataValidation type="list" allowBlank="1" showInputMessage="1" showErrorMessage="1" sqref="C35:G37" xr:uid="{00000000-0002-0000-0400-000000000000}">
      <formula1>"はい,いいえ"</formula1>
    </dataValidation>
  </dataValidations>
  <pageMargins left="0.7" right="0.7" top="0.75" bottom="0.75" header="0.3" footer="0.3"/>
  <pageSetup paperSize="9" scale="7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showGridLines="0" showRowColHeaders="0" view="pageBreakPreview" zoomScale="55" zoomScaleNormal="55" zoomScaleSheetLayoutView="55" workbookViewId="0">
      <selection activeCell="T34" sqref="T34"/>
    </sheetView>
  </sheetViews>
  <sheetFormatPr defaultRowHeight="13.2"/>
  <sheetData/>
  <sheetProtection algorithmName="SHA-512" hashValue="Wl+rN8bCs5fUjwCHZzNiX1VQHiE21Wgkf6jWI9wSqLXLJrv6Vg4fuCdCORBXi4dwlOzoz5YhEtxJy7jZd7NiBg==" saltValue="Q7LjE/JkWKfNma7pizub4g==" spinCount="100000" sheet="1" objects="1" scenarios="1"/>
  <customSheetViews>
    <customSheetView guid="{FEF7E134-FAA0-44BF-BC01-319EC6ED6317}" scale="55" showPageBreaks="1" showGridLines="0" showRowCol="0" printArea="1" view="pageBreakPreview">
      <pageMargins left="0.7" right="0.7" top="0.75" bottom="0.75" header="0.3" footer="0.3"/>
      <pageSetup paperSize="9" scale="57" orientation="portrait" r:id="rId1"/>
    </customSheetView>
  </customSheetViews>
  <phoneticPr fontId="1"/>
  <pageMargins left="0.7" right="0.7" top="0.75" bottom="0.75" header="0.3" footer="0.3"/>
  <pageSetup paperSize="9" scale="5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保険税試算シート</vt:lpstr>
      <vt:lpstr>入力例（１）世帯主が国保に加入する場合</vt:lpstr>
      <vt:lpstr>入力例（２）世帯主は国保に加入しない場合</vt:lpstr>
      <vt:lpstr>給与所得の確認シート</vt:lpstr>
      <vt:lpstr>公的年金等所得の確認シート</vt:lpstr>
      <vt:lpstr>確定申告書</vt:lpstr>
      <vt:lpstr>確定申告書!Print_Area</vt:lpstr>
      <vt:lpstr>給与所得の確認シート!Print_Area</vt:lpstr>
      <vt:lpstr>公的年金等所得の確認シート!Print_Area</vt:lpstr>
      <vt:lpstr>'入力例（１）世帯主が国保に加入する場合'!Print_Area</vt:lpstr>
      <vt:lpstr>'入力例（２）世帯主は国保に加入しない場合'!Print_Area</vt:lpstr>
      <vt:lpstr>保険税試算シート!Print_Area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令和4年度国民健康保険料の試算シート（マクロ付きエクセル）</dc:title>
  <dc:creator>千代田区</dc:creator>
  <cp:lastModifiedBy>tosu-osc@outlook.jp</cp:lastModifiedBy>
  <cp:lastPrinted>2022-12-01T23:54:17Z</cp:lastPrinted>
  <dcterms:created xsi:type="dcterms:W3CDTF">2019-05-07T08:03:31Z</dcterms:created>
  <dcterms:modified xsi:type="dcterms:W3CDTF">2025-06-18T00:53:34Z</dcterms:modified>
</cp:coreProperties>
</file>